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PabloCasadoSentiment\Fecha1\"/>
    </mc:Choice>
  </mc:AlternateContent>
  <xr:revisionPtr revIDLastSave="0" documentId="13_ncr:1_{6C8E7268-DC9A-4672-9AD1-2E54DF11AC7F}" xr6:coauthVersionLast="40" xr6:coauthVersionMax="40" xr10:uidLastSave="{00000000-0000-0000-0000-000000000000}"/>
  <bookViews>
    <workbookView xWindow="0" yWindow="0" windowWidth="23040" windowHeight="8412" xr2:uid="{00000000-000D-0000-FFFF-FFFF00000000}"/>
  </bookViews>
  <sheets>
    <sheet name="&quot;Pablo Casado&quot; langes -filterre"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472" i="3" l="1"/>
  <c r="K2472" i="3"/>
  <c r="E2472" i="3"/>
  <c r="B2472" i="3"/>
  <c r="U2471" i="3"/>
  <c r="K2471" i="3"/>
  <c r="E2471" i="3"/>
  <c r="B2471" i="3"/>
  <c r="U2470" i="3"/>
  <c r="K2470" i="3"/>
  <c r="E2470" i="3"/>
  <c r="B2470" i="3"/>
  <c r="K2469" i="3"/>
  <c r="E2469" i="3"/>
  <c r="B2469" i="3"/>
  <c r="K2468" i="3"/>
  <c r="E2468" i="3"/>
  <c r="B2468" i="3"/>
  <c r="U2467" i="3"/>
  <c r="K2467" i="3"/>
  <c r="E2467" i="3"/>
  <c r="B2467" i="3"/>
  <c r="U2466" i="3"/>
  <c r="K2466" i="3"/>
  <c r="E2466" i="3"/>
  <c r="B2466" i="3"/>
  <c r="U2465" i="3"/>
  <c r="K2465" i="3"/>
  <c r="E2465" i="3"/>
  <c r="B2465" i="3"/>
  <c r="U2464" i="3"/>
  <c r="K2464" i="3"/>
  <c r="E2464" i="3"/>
  <c r="B2464" i="3"/>
  <c r="K2463" i="3"/>
  <c r="E2463" i="3"/>
  <c r="B2463" i="3"/>
  <c r="U2462" i="3"/>
  <c r="K2462" i="3"/>
  <c r="E2462" i="3"/>
  <c r="B2462" i="3"/>
  <c r="U2461" i="3"/>
  <c r="K2461" i="3"/>
  <c r="E2461" i="3"/>
  <c r="B2461" i="3"/>
  <c r="U2460" i="3"/>
  <c r="K2460" i="3"/>
  <c r="E2460" i="3"/>
  <c r="B2460" i="3"/>
  <c r="U2459" i="3"/>
  <c r="K2459" i="3"/>
  <c r="E2459" i="3"/>
  <c r="B2459" i="3"/>
  <c r="U2458" i="3"/>
  <c r="K2458" i="3"/>
  <c r="E2458" i="3"/>
  <c r="B2458" i="3"/>
  <c r="U2457" i="3"/>
  <c r="K2457" i="3"/>
  <c r="E2457" i="3"/>
  <c r="B2457" i="3"/>
  <c r="U2456" i="3"/>
  <c r="K2456" i="3"/>
  <c r="E2456" i="3"/>
  <c r="B2456" i="3"/>
  <c r="U2455" i="3"/>
  <c r="K2455" i="3"/>
  <c r="E2455" i="3"/>
  <c r="B2455" i="3"/>
  <c r="U2454" i="3"/>
  <c r="K2454" i="3"/>
  <c r="E2454" i="3"/>
  <c r="B2454" i="3"/>
  <c r="U2453" i="3"/>
  <c r="K2453" i="3"/>
  <c r="E2453" i="3"/>
  <c r="B2453" i="3"/>
  <c r="U2452" i="3"/>
  <c r="K2452" i="3"/>
  <c r="E2452" i="3"/>
  <c r="B2452" i="3"/>
  <c r="U2451" i="3"/>
  <c r="K2451" i="3"/>
  <c r="E2451" i="3"/>
  <c r="B2451" i="3"/>
  <c r="U2450" i="3"/>
  <c r="K2450" i="3"/>
  <c r="E2450" i="3"/>
  <c r="B2450" i="3"/>
  <c r="U2449" i="3"/>
  <c r="K2449" i="3"/>
  <c r="E2449" i="3"/>
  <c r="B2449" i="3"/>
  <c r="U2448" i="3"/>
  <c r="K2448" i="3"/>
  <c r="E2448" i="3"/>
  <c r="B2448" i="3"/>
  <c r="U2447" i="3"/>
  <c r="K2447" i="3"/>
  <c r="E2447" i="3"/>
  <c r="B2447" i="3"/>
  <c r="U2446" i="3"/>
  <c r="K2446" i="3"/>
  <c r="E2446" i="3"/>
  <c r="B2446" i="3"/>
  <c r="U2445" i="3"/>
  <c r="K2445" i="3"/>
  <c r="E2445" i="3"/>
  <c r="B2445" i="3"/>
  <c r="U2444" i="3"/>
  <c r="K2444" i="3"/>
  <c r="E2444" i="3"/>
  <c r="B2444" i="3"/>
  <c r="U2443" i="3"/>
  <c r="K2443" i="3"/>
  <c r="E2443" i="3"/>
  <c r="B2443" i="3"/>
  <c r="U2442" i="3"/>
  <c r="K2442" i="3"/>
  <c r="E2442" i="3"/>
  <c r="B2442" i="3"/>
  <c r="U2441" i="3"/>
  <c r="K2441" i="3"/>
  <c r="E2441" i="3"/>
  <c r="B2441" i="3"/>
  <c r="U2440" i="3"/>
  <c r="K2440" i="3"/>
  <c r="E2440" i="3"/>
  <c r="B2440" i="3"/>
  <c r="U2439" i="3"/>
  <c r="K2439" i="3"/>
  <c r="E2439" i="3"/>
  <c r="B2439" i="3"/>
  <c r="U2438" i="3"/>
  <c r="K2438" i="3"/>
  <c r="E2438" i="3"/>
  <c r="B2438" i="3"/>
  <c r="U2437" i="3"/>
  <c r="K2437" i="3"/>
  <c r="E2437" i="3"/>
  <c r="B2437" i="3"/>
  <c r="U2436" i="3"/>
  <c r="K2436" i="3"/>
  <c r="E2436" i="3"/>
  <c r="B2436" i="3"/>
  <c r="U2435" i="3"/>
  <c r="K2435" i="3"/>
  <c r="E2435" i="3"/>
  <c r="B2435" i="3"/>
  <c r="U2434" i="3"/>
  <c r="K2434" i="3"/>
  <c r="E2434" i="3"/>
  <c r="B2434" i="3"/>
  <c r="U2433" i="3"/>
  <c r="K2433" i="3"/>
  <c r="E2433" i="3"/>
  <c r="B2433" i="3"/>
  <c r="U2432" i="3"/>
  <c r="K2432" i="3"/>
  <c r="E2432" i="3"/>
  <c r="B2432" i="3"/>
  <c r="U2431" i="3"/>
  <c r="K2431" i="3"/>
  <c r="E2431" i="3"/>
  <c r="B2431" i="3"/>
  <c r="U2430" i="3"/>
  <c r="K2430" i="3"/>
  <c r="E2430" i="3"/>
  <c r="B2430" i="3"/>
  <c r="U2429" i="3"/>
  <c r="K2429" i="3"/>
  <c r="E2429" i="3"/>
  <c r="B2429" i="3"/>
  <c r="U2428" i="3"/>
  <c r="K2428" i="3"/>
  <c r="E2428" i="3"/>
  <c r="B2428" i="3"/>
  <c r="U2427" i="3"/>
  <c r="K2427" i="3"/>
  <c r="E2427" i="3"/>
  <c r="B2427" i="3"/>
  <c r="U2426" i="3"/>
  <c r="K2426" i="3"/>
  <c r="E2426" i="3"/>
  <c r="B2426" i="3"/>
  <c r="U2425" i="3"/>
  <c r="K2425" i="3"/>
  <c r="E2425" i="3"/>
  <c r="B2425" i="3"/>
  <c r="U2424" i="3"/>
  <c r="K2424" i="3"/>
  <c r="E2424" i="3"/>
  <c r="B2424" i="3"/>
  <c r="U2423" i="3"/>
  <c r="K2423" i="3"/>
  <c r="E2423" i="3"/>
  <c r="B2423" i="3"/>
  <c r="U2422" i="3"/>
  <c r="K2422" i="3"/>
  <c r="E2422" i="3"/>
  <c r="B2422" i="3"/>
  <c r="U2421" i="3"/>
  <c r="K2421" i="3"/>
  <c r="E2421" i="3"/>
  <c r="B2421" i="3"/>
  <c r="U2420" i="3"/>
  <c r="K2420" i="3"/>
  <c r="E2420" i="3"/>
  <c r="B2420" i="3"/>
  <c r="U2419" i="3"/>
  <c r="K2419" i="3"/>
  <c r="E2419" i="3"/>
  <c r="B2419" i="3"/>
  <c r="U2418" i="3"/>
  <c r="K2418" i="3"/>
  <c r="E2418" i="3"/>
  <c r="B2418" i="3"/>
  <c r="U2417" i="3"/>
  <c r="K2417" i="3"/>
  <c r="E2417" i="3"/>
  <c r="B2417" i="3"/>
  <c r="U2416" i="3"/>
  <c r="K2416" i="3"/>
  <c r="E2416" i="3"/>
  <c r="B2416" i="3"/>
  <c r="U2415" i="3"/>
  <c r="K2415" i="3"/>
  <c r="E2415" i="3"/>
  <c r="B2415" i="3"/>
  <c r="U2414" i="3"/>
  <c r="K2414" i="3"/>
  <c r="E2414" i="3"/>
  <c r="B2414" i="3"/>
  <c r="U2413" i="3"/>
  <c r="K2413" i="3"/>
  <c r="E2413" i="3"/>
  <c r="B2413" i="3"/>
  <c r="U2412" i="3"/>
  <c r="K2412" i="3"/>
  <c r="E2412" i="3"/>
  <c r="B2412" i="3"/>
  <c r="U2411" i="3"/>
  <c r="K2411" i="3"/>
  <c r="E2411" i="3"/>
  <c r="B2411" i="3"/>
  <c r="U2410" i="3"/>
  <c r="K2410" i="3"/>
  <c r="E2410" i="3"/>
  <c r="B2410" i="3"/>
  <c r="U2409" i="3"/>
  <c r="K2409" i="3"/>
  <c r="E2409" i="3"/>
  <c r="B2409" i="3"/>
  <c r="U2408" i="3"/>
  <c r="K2408" i="3"/>
  <c r="E2408" i="3"/>
  <c r="B2408" i="3"/>
  <c r="U2407" i="3"/>
  <c r="K2407" i="3"/>
  <c r="E2407" i="3"/>
  <c r="B2407" i="3"/>
  <c r="U2406" i="3"/>
  <c r="K2406" i="3"/>
  <c r="E2406" i="3"/>
  <c r="B2406" i="3"/>
  <c r="U2405" i="3"/>
  <c r="K2405" i="3"/>
  <c r="E2405" i="3"/>
  <c r="B2405" i="3"/>
  <c r="U2404" i="3"/>
  <c r="K2404" i="3"/>
  <c r="E2404" i="3"/>
  <c r="B2404" i="3"/>
  <c r="U2403" i="3"/>
  <c r="K2403" i="3"/>
  <c r="E2403" i="3"/>
  <c r="B2403" i="3"/>
  <c r="U2402" i="3"/>
  <c r="K2402" i="3"/>
  <c r="E2402" i="3"/>
  <c r="B2402" i="3"/>
  <c r="U2401" i="3"/>
  <c r="K2401" i="3"/>
  <c r="E2401" i="3"/>
  <c r="B2401" i="3"/>
  <c r="U2400" i="3"/>
  <c r="K2400" i="3"/>
  <c r="E2400" i="3"/>
  <c r="B2400" i="3"/>
  <c r="U2399" i="3"/>
  <c r="K2399" i="3"/>
  <c r="E2399" i="3"/>
  <c r="B2399" i="3"/>
  <c r="K2398" i="3"/>
  <c r="E2398" i="3"/>
  <c r="B2398" i="3"/>
  <c r="U2397" i="3"/>
  <c r="K2397" i="3"/>
  <c r="E2397" i="3"/>
  <c r="B2397" i="3"/>
  <c r="U2396" i="3"/>
  <c r="K2396" i="3"/>
  <c r="E2396" i="3"/>
  <c r="B2396" i="3"/>
  <c r="U2395" i="3"/>
  <c r="K2395" i="3"/>
  <c r="E2395" i="3"/>
  <c r="B2395" i="3"/>
  <c r="U2394" i="3"/>
  <c r="K2394" i="3"/>
  <c r="E2394" i="3"/>
  <c r="B2394" i="3"/>
  <c r="U2393" i="3"/>
  <c r="K2393" i="3"/>
  <c r="E2393" i="3"/>
  <c r="B2393" i="3"/>
  <c r="U2392" i="3"/>
  <c r="K2392" i="3"/>
  <c r="E2392" i="3"/>
  <c r="B2392" i="3"/>
  <c r="U2391" i="3"/>
  <c r="K2391" i="3"/>
  <c r="E2391" i="3"/>
  <c r="B2391" i="3"/>
  <c r="U2390" i="3"/>
  <c r="K2390" i="3"/>
  <c r="E2390" i="3"/>
  <c r="B2390" i="3"/>
  <c r="U2389" i="3"/>
  <c r="K2389" i="3"/>
  <c r="E2389" i="3"/>
  <c r="B2389" i="3"/>
  <c r="U2388" i="3"/>
  <c r="K2388" i="3"/>
  <c r="E2388" i="3"/>
  <c r="B2388" i="3"/>
  <c r="U2387" i="3"/>
  <c r="K2387" i="3"/>
  <c r="E2387" i="3"/>
  <c r="B2387" i="3"/>
  <c r="U2386" i="3"/>
  <c r="K2386" i="3"/>
  <c r="E2386" i="3"/>
  <c r="B2386" i="3"/>
  <c r="U2385" i="3"/>
  <c r="K2385" i="3"/>
  <c r="E2385" i="3"/>
  <c r="B2385" i="3"/>
  <c r="U2384" i="3"/>
  <c r="K2384" i="3"/>
  <c r="E2384" i="3"/>
  <c r="B2384" i="3"/>
  <c r="U2383" i="3"/>
  <c r="K2383" i="3"/>
  <c r="E2383" i="3"/>
  <c r="B2383" i="3"/>
  <c r="U2382" i="3"/>
  <c r="K2382" i="3"/>
  <c r="E2382" i="3"/>
  <c r="B2382" i="3"/>
  <c r="U2381" i="3"/>
  <c r="K2381" i="3"/>
  <c r="E2381" i="3"/>
  <c r="B2381" i="3"/>
  <c r="U2380" i="3"/>
  <c r="K2380" i="3"/>
  <c r="E2380" i="3"/>
  <c r="B2380" i="3"/>
  <c r="U2379" i="3"/>
  <c r="K2379" i="3"/>
  <c r="E2379" i="3"/>
  <c r="B2379" i="3"/>
  <c r="U2378" i="3"/>
  <c r="K2378" i="3"/>
  <c r="E2378" i="3"/>
  <c r="B2378" i="3"/>
  <c r="U2377" i="3"/>
  <c r="K2377" i="3"/>
  <c r="E2377" i="3"/>
  <c r="B2377" i="3"/>
  <c r="U2376" i="3"/>
  <c r="K2376" i="3"/>
  <c r="E2376" i="3"/>
  <c r="B2376" i="3"/>
  <c r="U2375" i="3"/>
  <c r="K2375" i="3"/>
  <c r="E2375" i="3"/>
  <c r="B2375" i="3"/>
  <c r="U2374" i="3"/>
  <c r="K2374" i="3"/>
  <c r="E2374" i="3"/>
  <c r="B2374" i="3"/>
  <c r="U2373" i="3"/>
  <c r="K2373" i="3"/>
  <c r="E2373" i="3"/>
  <c r="B2373" i="3"/>
  <c r="U2372" i="3"/>
  <c r="K2372" i="3"/>
  <c r="E2372" i="3"/>
  <c r="B2372" i="3"/>
  <c r="U2371" i="3"/>
  <c r="K2371" i="3"/>
  <c r="E2371" i="3"/>
  <c r="B2371" i="3"/>
  <c r="U2370" i="3"/>
  <c r="K2370" i="3"/>
  <c r="E2370" i="3"/>
  <c r="B2370" i="3"/>
  <c r="U2369" i="3"/>
  <c r="K2369" i="3"/>
  <c r="E2369" i="3"/>
  <c r="B2369" i="3"/>
  <c r="U2368" i="3"/>
  <c r="K2368" i="3"/>
  <c r="E2368" i="3"/>
  <c r="B2368" i="3"/>
  <c r="U2367" i="3"/>
  <c r="K2367" i="3"/>
  <c r="E2367" i="3"/>
  <c r="B2367" i="3"/>
  <c r="U2366" i="3"/>
  <c r="K2366" i="3"/>
  <c r="E2366" i="3"/>
  <c r="B2366" i="3"/>
  <c r="U2365" i="3"/>
  <c r="K2365" i="3"/>
  <c r="E2365" i="3"/>
  <c r="B2365" i="3"/>
  <c r="U2364" i="3"/>
  <c r="K2364" i="3"/>
  <c r="E2364" i="3"/>
  <c r="B2364" i="3"/>
  <c r="U2363" i="3"/>
  <c r="K2363" i="3"/>
  <c r="E2363" i="3"/>
  <c r="B2363" i="3"/>
  <c r="U2362" i="3"/>
  <c r="K2362" i="3"/>
  <c r="E2362" i="3"/>
  <c r="B2362" i="3"/>
  <c r="U2361" i="3"/>
  <c r="K2361" i="3"/>
  <c r="E2361" i="3"/>
  <c r="B2361" i="3"/>
  <c r="U2360" i="3"/>
  <c r="K2360" i="3"/>
  <c r="E2360" i="3"/>
  <c r="B2360" i="3"/>
  <c r="U2359" i="3"/>
  <c r="K2359" i="3"/>
  <c r="E2359" i="3"/>
  <c r="B2359" i="3"/>
  <c r="U2358" i="3"/>
  <c r="K2358" i="3"/>
  <c r="E2358" i="3"/>
  <c r="B2358" i="3"/>
  <c r="U2357" i="3"/>
  <c r="K2357" i="3"/>
  <c r="E2357" i="3"/>
  <c r="B2357" i="3"/>
  <c r="U2356" i="3"/>
  <c r="K2356" i="3"/>
  <c r="E2356" i="3"/>
  <c r="B2356" i="3"/>
  <c r="U2355" i="3"/>
  <c r="K2355" i="3"/>
  <c r="E2355" i="3"/>
  <c r="B2355" i="3"/>
  <c r="U2354" i="3"/>
  <c r="K2354" i="3"/>
  <c r="E2354" i="3"/>
  <c r="B2354" i="3"/>
  <c r="U2353" i="3"/>
  <c r="K2353" i="3"/>
  <c r="E2353" i="3"/>
  <c r="B2353" i="3"/>
  <c r="U2352" i="3"/>
  <c r="K2352" i="3"/>
  <c r="E2352" i="3"/>
  <c r="B2352" i="3"/>
  <c r="U2351" i="3"/>
  <c r="K2351" i="3"/>
  <c r="E2351" i="3"/>
  <c r="B2351" i="3"/>
  <c r="U2350" i="3"/>
  <c r="K2350" i="3"/>
  <c r="E2350" i="3"/>
  <c r="B2350" i="3"/>
  <c r="U2349" i="3"/>
  <c r="K2349" i="3"/>
  <c r="E2349" i="3"/>
  <c r="B2349" i="3"/>
  <c r="U2348" i="3"/>
  <c r="K2348" i="3"/>
  <c r="E2348" i="3"/>
  <c r="B2348" i="3"/>
  <c r="U2347" i="3"/>
  <c r="K2347" i="3"/>
  <c r="E2347" i="3"/>
  <c r="B2347" i="3"/>
  <c r="U2346" i="3"/>
  <c r="K2346" i="3"/>
  <c r="E2346" i="3"/>
  <c r="B2346" i="3"/>
  <c r="U2345" i="3"/>
  <c r="K2345" i="3"/>
  <c r="E2345" i="3"/>
  <c r="B2345" i="3"/>
  <c r="U2344" i="3"/>
  <c r="K2344" i="3"/>
  <c r="E2344" i="3"/>
  <c r="B2344" i="3"/>
  <c r="U2343" i="3"/>
  <c r="K2343" i="3"/>
  <c r="E2343" i="3"/>
  <c r="B2343" i="3"/>
  <c r="U2342" i="3"/>
  <c r="K2342" i="3"/>
  <c r="E2342" i="3"/>
  <c r="B2342" i="3"/>
  <c r="U2341" i="3"/>
  <c r="K2341" i="3"/>
  <c r="E2341" i="3"/>
  <c r="B2341" i="3"/>
  <c r="U2340" i="3"/>
  <c r="K2340" i="3"/>
  <c r="E2340" i="3"/>
  <c r="B2340" i="3"/>
  <c r="U2339" i="3"/>
  <c r="K2339" i="3"/>
  <c r="E2339" i="3"/>
  <c r="B2339" i="3"/>
  <c r="U2338" i="3"/>
  <c r="K2338" i="3"/>
  <c r="E2338" i="3"/>
  <c r="B2338" i="3"/>
  <c r="U2337" i="3"/>
  <c r="K2337" i="3"/>
  <c r="E2337" i="3"/>
  <c r="B2337" i="3"/>
  <c r="U2336" i="3"/>
  <c r="K2336" i="3"/>
  <c r="E2336" i="3"/>
  <c r="B2336" i="3"/>
  <c r="U2335" i="3"/>
  <c r="K2335" i="3"/>
  <c r="E2335" i="3"/>
  <c r="B2335" i="3"/>
  <c r="U2334" i="3"/>
  <c r="K2334" i="3"/>
  <c r="E2334" i="3"/>
  <c r="B2334" i="3"/>
  <c r="U2333" i="3"/>
  <c r="K2333" i="3"/>
  <c r="E2333" i="3"/>
  <c r="B2333" i="3"/>
  <c r="U2332" i="3"/>
  <c r="K2332" i="3"/>
  <c r="E2332" i="3"/>
  <c r="B2332" i="3"/>
  <c r="U2331" i="3"/>
  <c r="K2331" i="3"/>
  <c r="E2331" i="3"/>
  <c r="B2331" i="3"/>
  <c r="U2330" i="3"/>
  <c r="K2330" i="3"/>
  <c r="E2330" i="3"/>
  <c r="B2330" i="3"/>
  <c r="U2329" i="3"/>
  <c r="K2329" i="3"/>
  <c r="E2329" i="3"/>
  <c r="B2329" i="3"/>
  <c r="U2328" i="3"/>
  <c r="K2328" i="3"/>
  <c r="E2328" i="3"/>
  <c r="B2328" i="3"/>
  <c r="U2327" i="3"/>
  <c r="K2327" i="3"/>
  <c r="E2327" i="3"/>
  <c r="B2327" i="3"/>
  <c r="U2326" i="3"/>
  <c r="K2326" i="3"/>
  <c r="E2326" i="3"/>
  <c r="B2326" i="3"/>
  <c r="U2325" i="3"/>
  <c r="K2325" i="3"/>
  <c r="E2325" i="3"/>
  <c r="B2325" i="3"/>
  <c r="U2324" i="3"/>
  <c r="K2324" i="3"/>
  <c r="E2324" i="3"/>
  <c r="B2324" i="3"/>
  <c r="U2323" i="3"/>
  <c r="K2323" i="3"/>
  <c r="E2323" i="3"/>
  <c r="B2323" i="3"/>
  <c r="U2322" i="3"/>
  <c r="K2322" i="3"/>
  <c r="E2322" i="3"/>
  <c r="B2322" i="3"/>
  <c r="U2321" i="3"/>
  <c r="K2321" i="3"/>
  <c r="E2321" i="3"/>
  <c r="B2321" i="3"/>
  <c r="U2320" i="3"/>
  <c r="K2320" i="3"/>
  <c r="E2320" i="3"/>
  <c r="B2320" i="3"/>
  <c r="U2319" i="3"/>
  <c r="K2319" i="3"/>
  <c r="E2319" i="3"/>
  <c r="B2319" i="3"/>
  <c r="U2318" i="3"/>
  <c r="K2318" i="3"/>
  <c r="E2318" i="3"/>
  <c r="B2318" i="3"/>
  <c r="U2317" i="3"/>
  <c r="K2317" i="3"/>
  <c r="E2317" i="3"/>
  <c r="B2317" i="3"/>
  <c r="U2316" i="3"/>
  <c r="K2316" i="3"/>
  <c r="E2316" i="3"/>
  <c r="B2316" i="3"/>
  <c r="U2315" i="3"/>
  <c r="K2315" i="3"/>
  <c r="E2315" i="3"/>
  <c r="B2315" i="3"/>
  <c r="U2314" i="3"/>
  <c r="K2314" i="3"/>
  <c r="E2314" i="3"/>
  <c r="B2314" i="3"/>
  <c r="U2313" i="3"/>
  <c r="K2313" i="3"/>
  <c r="E2313" i="3"/>
  <c r="B2313" i="3"/>
  <c r="U2312" i="3"/>
  <c r="K2312" i="3"/>
  <c r="E2312" i="3"/>
  <c r="B2312" i="3"/>
  <c r="U2311" i="3"/>
  <c r="K2311" i="3"/>
  <c r="E2311" i="3"/>
  <c r="B2311" i="3"/>
  <c r="U2310" i="3"/>
  <c r="K2310" i="3"/>
  <c r="E2310" i="3"/>
  <c r="B2310" i="3"/>
  <c r="U2309" i="3"/>
  <c r="K2309" i="3"/>
  <c r="E2309" i="3"/>
  <c r="B2309" i="3"/>
  <c r="U2308" i="3"/>
  <c r="K2308" i="3"/>
  <c r="E2308" i="3"/>
  <c r="B2308" i="3"/>
  <c r="U2307" i="3"/>
  <c r="K2307" i="3"/>
  <c r="E2307" i="3"/>
  <c r="B2307" i="3"/>
  <c r="U2306" i="3"/>
  <c r="K2306" i="3"/>
  <c r="E2306" i="3"/>
  <c r="B2306" i="3"/>
  <c r="U2305" i="3"/>
  <c r="K2305" i="3"/>
  <c r="E2305" i="3"/>
  <c r="B2305" i="3"/>
  <c r="U2304" i="3"/>
  <c r="K2304" i="3"/>
  <c r="E2304" i="3"/>
  <c r="B2304" i="3"/>
  <c r="U2303" i="3"/>
  <c r="K2303" i="3"/>
  <c r="E2303" i="3"/>
  <c r="B2303" i="3"/>
  <c r="U2302" i="3"/>
  <c r="K2302" i="3"/>
  <c r="E2302" i="3"/>
  <c r="B2302" i="3"/>
  <c r="U2301" i="3"/>
  <c r="K2301" i="3"/>
  <c r="E2301" i="3"/>
  <c r="B2301" i="3"/>
  <c r="U2300" i="3"/>
  <c r="K2300" i="3"/>
  <c r="E2300" i="3"/>
  <c r="B2300" i="3"/>
  <c r="U2299" i="3"/>
  <c r="K2299" i="3"/>
  <c r="E2299" i="3"/>
  <c r="B2299" i="3"/>
  <c r="U2298" i="3"/>
  <c r="K2298" i="3"/>
  <c r="E2298" i="3"/>
  <c r="B2298" i="3"/>
  <c r="U2297" i="3"/>
  <c r="K2297" i="3"/>
  <c r="E2297" i="3"/>
  <c r="B2297" i="3"/>
  <c r="U2296" i="3"/>
  <c r="K2296" i="3"/>
  <c r="E2296" i="3"/>
  <c r="B2296" i="3"/>
  <c r="U2295" i="3"/>
  <c r="K2295" i="3"/>
  <c r="E2295" i="3"/>
  <c r="B2295" i="3"/>
  <c r="U2294" i="3"/>
  <c r="K2294" i="3"/>
  <c r="E2294" i="3"/>
  <c r="B2294" i="3"/>
  <c r="U2293" i="3"/>
  <c r="K2293" i="3"/>
  <c r="E2293" i="3"/>
  <c r="B2293" i="3"/>
  <c r="U2292" i="3"/>
  <c r="K2292" i="3"/>
  <c r="E2292" i="3"/>
  <c r="B2292" i="3"/>
  <c r="U2291" i="3"/>
  <c r="K2291" i="3"/>
  <c r="E2291" i="3"/>
  <c r="B2291" i="3"/>
  <c r="U2290" i="3"/>
  <c r="K2290" i="3"/>
  <c r="E2290" i="3"/>
  <c r="B2290" i="3"/>
  <c r="U2289" i="3"/>
  <c r="K2289" i="3"/>
  <c r="E2289" i="3"/>
  <c r="B2289" i="3"/>
  <c r="U2288" i="3"/>
  <c r="K2288" i="3"/>
  <c r="E2288" i="3"/>
  <c r="B2288" i="3"/>
  <c r="U2287" i="3"/>
  <c r="K2287" i="3"/>
  <c r="E2287" i="3"/>
  <c r="B2287" i="3"/>
  <c r="U2286" i="3"/>
  <c r="K2286" i="3"/>
  <c r="E2286" i="3"/>
  <c r="B2286" i="3"/>
  <c r="U2285" i="3"/>
  <c r="K2285" i="3"/>
  <c r="E2285" i="3"/>
  <c r="B2285" i="3"/>
  <c r="U2284" i="3"/>
  <c r="K2284" i="3"/>
  <c r="E2284" i="3"/>
  <c r="B2284" i="3"/>
  <c r="U2283" i="3"/>
  <c r="K2283" i="3"/>
  <c r="E2283" i="3"/>
  <c r="B2283" i="3"/>
  <c r="U2282" i="3"/>
  <c r="K2282" i="3"/>
  <c r="E2282" i="3"/>
  <c r="B2282" i="3"/>
  <c r="U2281" i="3"/>
  <c r="K2281" i="3"/>
  <c r="E2281" i="3"/>
  <c r="B2281" i="3"/>
  <c r="U2280" i="3"/>
  <c r="K2280" i="3"/>
  <c r="E2280" i="3"/>
  <c r="B2280" i="3"/>
  <c r="U2279" i="3"/>
  <c r="K2279" i="3"/>
  <c r="E2279" i="3"/>
  <c r="B2279" i="3"/>
  <c r="K2278" i="3"/>
  <c r="E2278" i="3"/>
  <c r="B2278" i="3"/>
  <c r="U2277" i="3"/>
  <c r="K2277" i="3"/>
  <c r="E2277" i="3"/>
  <c r="B2277" i="3"/>
  <c r="U2276" i="3"/>
  <c r="K2276" i="3"/>
  <c r="E2276" i="3"/>
  <c r="B2276" i="3"/>
  <c r="U2275" i="3"/>
  <c r="K2275" i="3"/>
  <c r="E2275" i="3"/>
  <c r="B2275" i="3"/>
  <c r="U2274" i="3"/>
  <c r="K2274" i="3"/>
  <c r="E2274" i="3"/>
  <c r="B2274" i="3"/>
  <c r="U2273" i="3"/>
  <c r="K2273" i="3"/>
  <c r="E2273" i="3"/>
  <c r="B2273" i="3"/>
  <c r="U2272" i="3"/>
  <c r="K2272" i="3"/>
  <c r="E2272" i="3"/>
  <c r="B2272" i="3"/>
  <c r="U2271" i="3"/>
  <c r="K2271" i="3"/>
  <c r="E2271" i="3"/>
  <c r="B2271" i="3"/>
  <c r="U2270" i="3"/>
  <c r="K2270" i="3"/>
  <c r="E2270" i="3"/>
  <c r="B2270" i="3"/>
  <c r="U2269" i="3"/>
  <c r="K2269" i="3"/>
  <c r="E2269" i="3"/>
  <c r="B2269" i="3"/>
  <c r="U2268" i="3"/>
  <c r="K2268" i="3"/>
  <c r="E2268" i="3"/>
  <c r="B2268" i="3"/>
  <c r="U2267" i="3"/>
  <c r="K2267" i="3"/>
  <c r="E2267" i="3"/>
  <c r="B2267" i="3"/>
  <c r="U2266" i="3"/>
  <c r="K2266" i="3"/>
  <c r="E2266" i="3"/>
  <c r="B2266" i="3"/>
  <c r="U2265" i="3"/>
  <c r="K2265" i="3"/>
  <c r="E2265" i="3"/>
  <c r="B2265" i="3"/>
  <c r="U2264" i="3"/>
  <c r="K2264" i="3"/>
  <c r="E2264" i="3"/>
  <c r="B2264" i="3"/>
  <c r="U2263" i="3"/>
  <c r="K2263" i="3"/>
  <c r="E2263" i="3"/>
  <c r="B2263" i="3"/>
  <c r="U2262" i="3"/>
  <c r="K2262" i="3"/>
  <c r="E2262" i="3"/>
  <c r="B2262" i="3"/>
  <c r="U2261" i="3"/>
  <c r="K2261" i="3"/>
  <c r="E2261" i="3"/>
  <c r="B2261" i="3"/>
  <c r="U2260" i="3"/>
  <c r="K2260" i="3"/>
  <c r="E2260" i="3"/>
  <c r="B2260" i="3"/>
  <c r="U2259" i="3"/>
  <c r="K2259" i="3"/>
  <c r="E2259" i="3"/>
  <c r="B2259" i="3"/>
  <c r="U2258" i="3"/>
  <c r="K2258" i="3"/>
  <c r="E2258" i="3"/>
  <c r="B2258" i="3"/>
  <c r="U2257" i="3"/>
  <c r="K2257" i="3"/>
  <c r="E2257" i="3"/>
  <c r="B2257" i="3"/>
  <c r="U2256" i="3"/>
  <c r="K2256" i="3"/>
  <c r="E2256" i="3"/>
  <c r="B2256" i="3"/>
  <c r="U2255" i="3"/>
  <c r="K2255" i="3"/>
  <c r="E2255" i="3"/>
  <c r="B2255" i="3"/>
  <c r="U2254" i="3"/>
  <c r="K2254" i="3"/>
  <c r="E2254" i="3"/>
  <c r="B2254" i="3"/>
  <c r="U2253" i="3"/>
  <c r="K2253" i="3"/>
  <c r="E2253" i="3"/>
  <c r="B2253" i="3"/>
  <c r="U2252" i="3"/>
  <c r="K2252" i="3"/>
  <c r="E2252" i="3"/>
  <c r="B2252" i="3"/>
  <c r="U2251" i="3"/>
  <c r="K2251" i="3"/>
  <c r="E2251" i="3"/>
  <c r="B2251" i="3"/>
  <c r="U2250" i="3"/>
  <c r="K2250" i="3"/>
  <c r="E2250" i="3"/>
  <c r="B2250" i="3"/>
  <c r="U2249" i="3"/>
  <c r="K2249" i="3"/>
  <c r="E2249" i="3"/>
  <c r="B2249" i="3"/>
  <c r="U2248" i="3"/>
  <c r="K2248" i="3"/>
  <c r="E2248" i="3"/>
  <c r="B2248" i="3"/>
  <c r="U2247" i="3"/>
  <c r="K2247" i="3"/>
  <c r="E2247" i="3"/>
  <c r="B2247" i="3"/>
  <c r="U2246" i="3"/>
  <c r="K2246" i="3"/>
  <c r="E2246" i="3"/>
  <c r="B2246" i="3"/>
  <c r="U2245" i="3"/>
  <c r="K2245" i="3"/>
  <c r="E2245" i="3"/>
  <c r="B2245" i="3"/>
  <c r="U2244" i="3"/>
  <c r="K2244" i="3"/>
  <c r="E2244" i="3"/>
  <c r="B2244" i="3"/>
  <c r="U2243" i="3"/>
  <c r="K2243" i="3"/>
  <c r="E2243" i="3"/>
  <c r="B2243" i="3"/>
  <c r="U2242" i="3"/>
  <c r="K2242" i="3"/>
  <c r="E2242" i="3"/>
  <c r="B2242" i="3"/>
  <c r="U2241" i="3"/>
  <c r="K2241" i="3"/>
  <c r="E2241" i="3"/>
  <c r="B2241" i="3"/>
  <c r="U2240" i="3"/>
  <c r="K2240" i="3"/>
  <c r="E2240" i="3"/>
  <c r="B2240" i="3"/>
  <c r="U2239" i="3"/>
  <c r="K2239" i="3"/>
  <c r="E2239" i="3"/>
  <c r="B2239" i="3"/>
  <c r="U2238" i="3"/>
  <c r="K2238" i="3"/>
  <c r="E2238" i="3"/>
  <c r="B2238" i="3"/>
  <c r="U2237" i="3"/>
  <c r="K2237" i="3"/>
  <c r="E2237" i="3"/>
  <c r="B2237" i="3"/>
  <c r="U2236" i="3"/>
  <c r="K2236" i="3"/>
  <c r="E2236" i="3"/>
  <c r="B2236" i="3"/>
  <c r="U2235" i="3"/>
  <c r="K2235" i="3"/>
  <c r="E2235" i="3"/>
  <c r="B2235" i="3"/>
  <c r="U2234" i="3"/>
  <c r="K2234" i="3"/>
  <c r="E2234" i="3"/>
  <c r="B2234" i="3"/>
  <c r="U2233" i="3"/>
  <c r="K2233" i="3"/>
  <c r="E2233" i="3"/>
  <c r="B2233" i="3"/>
  <c r="K2232" i="3"/>
  <c r="E2232" i="3"/>
  <c r="B2232" i="3"/>
  <c r="U2231" i="3"/>
  <c r="K2231" i="3"/>
  <c r="E2231" i="3"/>
  <c r="B2231" i="3"/>
  <c r="U2230" i="3"/>
  <c r="K2230" i="3"/>
  <c r="E2230" i="3"/>
  <c r="B2230" i="3"/>
  <c r="U2229" i="3"/>
  <c r="K2229" i="3"/>
  <c r="E2229" i="3"/>
  <c r="B2229" i="3"/>
  <c r="U2228" i="3"/>
  <c r="K2228" i="3"/>
  <c r="E2228" i="3"/>
  <c r="B2228" i="3"/>
  <c r="U2227" i="3"/>
  <c r="K2227" i="3"/>
  <c r="E2227" i="3"/>
  <c r="B2227" i="3"/>
  <c r="U2226" i="3"/>
  <c r="K2226" i="3"/>
  <c r="E2226" i="3"/>
  <c r="B2226" i="3"/>
  <c r="U2225" i="3"/>
  <c r="K2225" i="3"/>
  <c r="E2225" i="3"/>
  <c r="B2225" i="3"/>
  <c r="U2224" i="3"/>
  <c r="K2224" i="3"/>
  <c r="E2224" i="3"/>
  <c r="B2224" i="3"/>
  <c r="U2223" i="3"/>
  <c r="K2223" i="3"/>
  <c r="E2223" i="3"/>
  <c r="B2223" i="3"/>
  <c r="U2222" i="3"/>
  <c r="K2222" i="3"/>
  <c r="E2222" i="3"/>
  <c r="B2222" i="3"/>
  <c r="U2221" i="3"/>
  <c r="K2221" i="3"/>
  <c r="E2221" i="3"/>
  <c r="B2221" i="3"/>
  <c r="U2220" i="3"/>
  <c r="K2220" i="3"/>
  <c r="E2220" i="3"/>
  <c r="B2220" i="3"/>
  <c r="U2219" i="3"/>
  <c r="K2219" i="3"/>
  <c r="E2219" i="3"/>
  <c r="B2219" i="3"/>
  <c r="U2218" i="3"/>
  <c r="K2218" i="3"/>
  <c r="E2218" i="3"/>
  <c r="B2218" i="3"/>
  <c r="U2217" i="3"/>
  <c r="K2217" i="3"/>
  <c r="E2217" i="3"/>
  <c r="B2217" i="3"/>
  <c r="U2216" i="3"/>
  <c r="K2216" i="3"/>
  <c r="E2216" i="3"/>
  <c r="B2216" i="3"/>
  <c r="U2215" i="3"/>
  <c r="K2215" i="3"/>
  <c r="E2215" i="3"/>
  <c r="B2215" i="3"/>
  <c r="U2214" i="3"/>
  <c r="K2214" i="3"/>
  <c r="E2214" i="3"/>
  <c r="B2214" i="3"/>
  <c r="U2213" i="3"/>
  <c r="K2213" i="3"/>
  <c r="E2213" i="3"/>
  <c r="B2213" i="3"/>
  <c r="U2212" i="3"/>
  <c r="K2212" i="3"/>
  <c r="E2212" i="3"/>
  <c r="B2212" i="3"/>
  <c r="U2211" i="3"/>
  <c r="K2211" i="3"/>
  <c r="E2211" i="3"/>
  <c r="B2211" i="3"/>
  <c r="U2210" i="3"/>
  <c r="K2210" i="3"/>
  <c r="E2210" i="3"/>
  <c r="B2210" i="3"/>
  <c r="U2209" i="3"/>
  <c r="K2209" i="3"/>
  <c r="E2209" i="3"/>
  <c r="B2209" i="3"/>
  <c r="U2208" i="3"/>
  <c r="K2208" i="3"/>
  <c r="E2208" i="3"/>
  <c r="B2208" i="3"/>
  <c r="U2207" i="3"/>
  <c r="K2207" i="3"/>
  <c r="E2207" i="3"/>
  <c r="B2207" i="3"/>
  <c r="U2206" i="3"/>
  <c r="K2206" i="3"/>
  <c r="E2206" i="3"/>
  <c r="B2206" i="3"/>
  <c r="K2205" i="3"/>
  <c r="E2205" i="3"/>
  <c r="B2205" i="3"/>
  <c r="U2204" i="3"/>
  <c r="K2204" i="3"/>
  <c r="E2204" i="3"/>
  <c r="B2204" i="3"/>
  <c r="U2203" i="3"/>
  <c r="K2203" i="3"/>
  <c r="E2203" i="3"/>
  <c r="B2203" i="3"/>
  <c r="U2202" i="3"/>
  <c r="K2202" i="3"/>
  <c r="E2202" i="3"/>
  <c r="B2202" i="3"/>
  <c r="U2201" i="3"/>
  <c r="K2201" i="3"/>
  <c r="E2201" i="3"/>
  <c r="B2201" i="3"/>
  <c r="U2200" i="3"/>
  <c r="K2200" i="3"/>
  <c r="E2200" i="3"/>
  <c r="B2200" i="3"/>
  <c r="U2199" i="3"/>
  <c r="K2199" i="3"/>
  <c r="E2199" i="3"/>
  <c r="B2199" i="3"/>
  <c r="U2198" i="3"/>
  <c r="K2198" i="3"/>
  <c r="E2198" i="3"/>
  <c r="B2198" i="3"/>
  <c r="U2197" i="3"/>
  <c r="K2197" i="3"/>
  <c r="E2197" i="3"/>
  <c r="B2197" i="3"/>
  <c r="U2196" i="3"/>
  <c r="K2196" i="3"/>
  <c r="E2196" i="3"/>
  <c r="B2196" i="3"/>
  <c r="U2195" i="3"/>
  <c r="K2195" i="3"/>
  <c r="E2195" i="3"/>
  <c r="B2195" i="3"/>
  <c r="U2194" i="3"/>
  <c r="K2194" i="3"/>
  <c r="E2194" i="3"/>
  <c r="B2194" i="3"/>
  <c r="U2193" i="3"/>
  <c r="K2193" i="3"/>
  <c r="E2193" i="3"/>
  <c r="B2193" i="3"/>
  <c r="U2192" i="3"/>
  <c r="K2192" i="3"/>
  <c r="E2192" i="3"/>
  <c r="B2192" i="3"/>
  <c r="U2191" i="3"/>
  <c r="K2191" i="3"/>
  <c r="E2191" i="3"/>
  <c r="B2191" i="3"/>
  <c r="U2190" i="3"/>
  <c r="K2190" i="3"/>
  <c r="E2190" i="3"/>
  <c r="B2190" i="3"/>
  <c r="U2189" i="3"/>
  <c r="K2189" i="3"/>
  <c r="E2189" i="3"/>
  <c r="B2189" i="3"/>
  <c r="U2188" i="3"/>
  <c r="K2188" i="3"/>
  <c r="E2188" i="3"/>
  <c r="B2188" i="3"/>
  <c r="U2187" i="3"/>
  <c r="K2187" i="3"/>
  <c r="E2187" i="3"/>
  <c r="B2187" i="3"/>
  <c r="U2186" i="3"/>
  <c r="K2186" i="3"/>
  <c r="E2186" i="3"/>
  <c r="B2186" i="3"/>
  <c r="U2185" i="3"/>
  <c r="K2185" i="3"/>
  <c r="E2185" i="3"/>
  <c r="B2185" i="3"/>
  <c r="U2184" i="3"/>
  <c r="K2184" i="3"/>
  <c r="E2184" i="3"/>
  <c r="B2184" i="3"/>
  <c r="U2183" i="3"/>
  <c r="K2183" i="3"/>
  <c r="E2183" i="3"/>
  <c r="B2183" i="3"/>
  <c r="U2182" i="3"/>
  <c r="K2182" i="3"/>
  <c r="E2182" i="3"/>
  <c r="B2182" i="3"/>
  <c r="U2181" i="3"/>
  <c r="K2181" i="3"/>
  <c r="E2181" i="3"/>
  <c r="B2181" i="3"/>
  <c r="U2180" i="3"/>
  <c r="K2180" i="3"/>
  <c r="E2180" i="3"/>
  <c r="B2180" i="3"/>
  <c r="U2179" i="3"/>
  <c r="K2179" i="3"/>
  <c r="E2179" i="3"/>
  <c r="B2179" i="3"/>
  <c r="U2178" i="3"/>
  <c r="K2178" i="3"/>
  <c r="E2178" i="3"/>
  <c r="B2178" i="3"/>
  <c r="U2177" i="3"/>
  <c r="K2177" i="3"/>
  <c r="E2177" i="3"/>
  <c r="B2177" i="3"/>
  <c r="U2176" i="3"/>
  <c r="K2176" i="3"/>
  <c r="E2176" i="3"/>
  <c r="B2176" i="3"/>
  <c r="U2175" i="3"/>
  <c r="K2175" i="3"/>
  <c r="E2175" i="3"/>
  <c r="B2175" i="3"/>
  <c r="U2174" i="3"/>
  <c r="K2174" i="3"/>
  <c r="E2174" i="3"/>
  <c r="B2174" i="3"/>
  <c r="U2173" i="3"/>
  <c r="K2173" i="3"/>
  <c r="E2173" i="3"/>
  <c r="B2173" i="3"/>
  <c r="U2172" i="3"/>
  <c r="K2172" i="3"/>
  <c r="E2172" i="3"/>
  <c r="B2172" i="3"/>
  <c r="U2171" i="3"/>
  <c r="K2171" i="3"/>
  <c r="E2171" i="3"/>
  <c r="B2171" i="3"/>
  <c r="U2170" i="3"/>
  <c r="K2170" i="3"/>
  <c r="E2170" i="3"/>
  <c r="B2170" i="3"/>
  <c r="U2169" i="3"/>
  <c r="K2169" i="3"/>
  <c r="E2169" i="3"/>
  <c r="B2169" i="3"/>
  <c r="U2168" i="3"/>
  <c r="K2168" i="3"/>
  <c r="E2168" i="3"/>
  <c r="B2168" i="3"/>
  <c r="U2167" i="3"/>
  <c r="K2167" i="3"/>
  <c r="E2167" i="3"/>
  <c r="B2167" i="3"/>
  <c r="U2166" i="3"/>
  <c r="K2166" i="3"/>
  <c r="E2166" i="3"/>
  <c r="B2166" i="3"/>
  <c r="U2165" i="3"/>
  <c r="K2165" i="3"/>
  <c r="E2165" i="3"/>
  <c r="B2165" i="3"/>
  <c r="U2164" i="3"/>
  <c r="K2164" i="3"/>
  <c r="E2164" i="3"/>
  <c r="B2164" i="3"/>
  <c r="U2163" i="3"/>
  <c r="K2163" i="3"/>
  <c r="E2163" i="3"/>
  <c r="B2163" i="3"/>
  <c r="U2162" i="3"/>
  <c r="K2162" i="3"/>
  <c r="E2162" i="3"/>
  <c r="B2162" i="3"/>
  <c r="U2161" i="3"/>
  <c r="K2161" i="3"/>
  <c r="E2161" i="3"/>
  <c r="B2161" i="3"/>
  <c r="U2160" i="3"/>
  <c r="K2160" i="3"/>
  <c r="E2160" i="3"/>
  <c r="B2160" i="3"/>
  <c r="U2159" i="3"/>
  <c r="K2159" i="3"/>
  <c r="E2159" i="3"/>
  <c r="B2159" i="3"/>
  <c r="U2158" i="3"/>
  <c r="K2158" i="3"/>
  <c r="E2158" i="3"/>
  <c r="B2158" i="3"/>
  <c r="U2157" i="3"/>
  <c r="K2157" i="3"/>
  <c r="E2157" i="3"/>
  <c r="B2157" i="3"/>
  <c r="U2156" i="3"/>
  <c r="K2156" i="3"/>
  <c r="E2156" i="3"/>
  <c r="B2156" i="3"/>
  <c r="U2155" i="3"/>
  <c r="K2155" i="3"/>
  <c r="E2155" i="3"/>
  <c r="B2155" i="3"/>
  <c r="U2154" i="3"/>
  <c r="K2154" i="3"/>
  <c r="E2154" i="3"/>
  <c r="B2154" i="3"/>
  <c r="U2153" i="3"/>
  <c r="K2153" i="3"/>
  <c r="E2153" i="3"/>
  <c r="B2153" i="3"/>
  <c r="U2152" i="3"/>
  <c r="K2152" i="3"/>
  <c r="E2152" i="3"/>
  <c r="B2152" i="3"/>
  <c r="U2151" i="3"/>
  <c r="K2151" i="3"/>
  <c r="E2151" i="3"/>
  <c r="B2151" i="3"/>
  <c r="U2150" i="3"/>
  <c r="K2150" i="3"/>
  <c r="E2150" i="3"/>
  <c r="B2150" i="3"/>
  <c r="U2149" i="3"/>
  <c r="K2149" i="3"/>
  <c r="E2149" i="3"/>
  <c r="B2149" i="3"/>
  <c r="U2148" i="3"/>
  <c r="K2148" i="3"/>
  <c r="E2148" i="3"/>
  <c r="B2148" i="3"/>
  <c r="U2147" i="3"/>
  <c r="K2147" i="3"/>
  <c r="E2147" i="3"/>
  <c r="B2147" i="3"/>
  <c r="U2146" i="3"/>
  <c r="K2146" i="3"/>
  <c r="E2146" i="3"/>
  <c r="B2146" i="3"/>
  <c r="U2145" i="3"/>
  <c r="K2145" i="3"/>
  <c r="E2145" i="3"/>
  <c r="B2145" i="3"/>
  <c r="U2144" i="3"/>
  <c r="K2144" i="3"/>
  <c r="E2144" i="3"/>
  <c r="B2144" i="3"/>
  <c r="U2143" i="3"/>
  <c r="K2143" i="3"/>
  <c r="E2143" i="3"/>
  <c r="B2143" i="3"/>
  <c r="U2142" i="3"/>
  <c r="K2142" i="3"/>
  <c r="E2142" i="3"/>
  <c r="B2142" i="3"/>
  <c r="U2141" i="3"/>
  <c r="K2141" i="3"/>
  <c r="E2141" i="3"/>
  <c r="B2141" i="3"/>
  <c r="U2140" i="3"/>
  <c r="K2140" i="3"/>
  <c r="E2140" i="3"/>
  <c r="B2140" i="3"/>
  <c r="U2139" i="3"/>
  <c r="K2139" i="3"/>
  <c r="E2139" i="3"/>
  <c r="B2139" i="3"/>
  <c r="U2138" i="3"/>
  <c r="K2138" i="3"/>
  <c r="E2138" i="3"/>
  <c r="B2138" i="3"/>
  <c r="U2137" i="3"/>
  <c r="K2137" i="3"/>
  <c r="E2137" i="3"/>
  <c r="B2137" i="3"/>
  <c r="U2136" i="3"/>
  <c r="K2136" i="3"/>
  <c r="E2136" i="3"/>
  <c r="B2136" i="3"/>
  <c r="U2135" i="3"/>
  <c r="K2135" i="3"/>
  <c r="E2135" i="3"/>
  <c r="B2135" i="3"/>
  <c r="U2134" i="3"/>
  <c r="K2134" i="3"/>
  <c r="E2134" i="3"/>
  <c r="B2134" i="3"/>
  <c r="U2133" i="3"/>
  <c r="K2133" i="3"/>
  <c r="E2133" i="3"/>
  <c r="B2133" i="3"/>
  <c r="U2132" i="3"/>
  <c r="K2132" i="3"/>
  <c r="E2132" i="3"/>
  <c r="B2132" i="3"/>
  <c r="U2131" i="3"/>
  <c r="K2131" i="3"/>
  <c r="E2131" i="3"/>
  <c r="B2131" i="3"/>
  <c r="U2130" i="3"/>
  <c r="K2130" i="3"/>
  <c r="E2130" i="3"/>
  <c r="B2130" i="3"/>
  <c r="U2129" i="3"/>
  <c r="K2129" i="3"/>
  <c r="E2129" i="3"/>
  <c r="B2129" i="3"/>
  <c r="U2128" i="3"/>
  <c r="K2128" i="3"/>
  <c r="E2128" i="3"/>
  <c r="B2128" i="3"/>
  <c r="U2127" i="3"/>
  <c r="K2127" i="3"/>
  <c r="E2127" i="3"/>
  <c r="B2127" i="3"/>
  <c r="U2126" i="3"/>
  <c r="K2126" i="3"/>
  <c r="E2126" i="3"/>
  <c r="B2126" i="3"/>
  <c r="U2125" i="3"/>
  <c r="K2125" i="3"/>
  <c r="E2125" i="3"/>
  <c r="B2125" i="3"/>
  <c r="U2124" i="3"/>
  <c r="K2124" i="3"/>
  <c r="E2124" i="3"/>
  <c r="B2124" i="3"/>
  <c r="U2123" i="3"/>
  <c r="K2123" i="3"/>
  <c r="E2123" i="3"/>
  <c r="B2123" i="3"/>
  <c r="U2122" i="3"/>
  <c r="K2122" i="3"/>
  <c r="E2122" i="3"/>
  <c r="B2122" i="3"/>
  <c r="U2121" i="3"/>
  <c r="K2121" i="3"/>
  <c r="E2121" i="3"/>
  <c r="B2121" i="3"/>
  <c r="U2120" i="3"/>
  <c r="K2120" i="3"/>
  <c r="E2120" i="3"/>
  <c r="B2120" i="3"/>
  <c r="U2119" i="3"/>
  <c r="K2119" i="3"/>
  <c r="E2119" i="3"/>
  <c r="B2119" i="3"/>
  <c r="U2118" i="3"/>
  <c r="K2118" i="3"/>
  <c r="E2118" i="3"/>
  <c r="B2118" i="3"/>
  <c r="U2117" i="3"/>
  <c r="K2117" i="3"/>
  <c r="E2117" i="3"/>
  <c r="B2117" i="3"/>
  <c r="U2116" i="3"/>
  <c r="K2116" i="3"/>
  <c r="E2116" i="3"/>
  <c r="B2116" i="3"/>
  <c r="U2115" i="3"/>
  <c r="K2115" i="3"/>
  <c r="E2115" i="3"/>
  <c r="B2115" i="3"/>
  <c r="U2114" i="3"/>
  <c r="K2114" i="3"/>
  <c r="E2114" i="3"/>
  <c r="B2114" i="3"/>
  <c r="U2113" i="3"/>
  <c r="K2113" i="3"/>
  <c r="E2113" i="3"/>
  <c r="B2113" i="3"/>
  <c r="U2112" i="3"/>
  <c r="K2112" i="3"/>
  <c r="E2112" i="3"/>
  <c r="B2112" i="3"/>
  <c r="U2111" i="3"/>
  <c r="K2111" i="3"/>
  <c r="E2111" i="3"/>
  <c r="B2111" i="3"/>
  <c r="U2110" i="3"/>
  <c r="K2110" i="3"/>
  <c r="E2110" i="3"/>
  <c r="B2110" i="3"/>
  <c r="U2109" i="3"/>
  <c r="K2109" i="3"/>
  <c r="E2109" i="3"/>
  <c r="B2109" i="3"/>
  <c r="U2108" i="3"/>
  <c r="K2108" i="3"/>
  <c r="E2108" i="3"/>
  <c r="B2108" i="3"/>
  <c r="U2107" i="3"/>
  <c r="K2107" i="3"/>
  <c r="E2107" i="3"/>
  <c r="B2107" i="3"/>
  <c r="U2106" i="3"/>
  <c r="K2106" i="3"/>
  <c r="E2106" i="3"/>
  <c r="B2106" i="3"/>
  <c r="U2105" i="3"/>
  <c r="K2105" i="3"/>
  <c r="E2105" i="3"/>
  <c r="B2105" i="3"/>
  <c r="U2104" i="3"/>
  <c r="K2104" i="3"/>
  <c r="E2104" i="3"/>
  <c r="B2104" i="3"/>
  <c r="U2103" i="3"/>
  <c r="K2103" i="3"/>
  <c r="E2103" i="3"/>
  <c r="B2103" i="3"/>
  <c r="U2102" i="3"/>
  <c r="K2102" i="3"/>
  <c r="E2102" i="3"/>
  <c r="B2102" i="3"/>
  <c r="U2101" i="3"/>
  <c r="K2101" i="3"/>
  <c r="E2101" i="3"/>
  <c r="B2101" i="3"/>
  <c r="U2100" i="3"/>
  <c r="K2100" i="3"/>
  <c r="E2100" i="3"/>
  <c r="B2100" i="3"/>
  <c r="U2099" i="3"/>
  <c r="K2099" i="3"/>
  <c r="E2099" i="3"/>
  <c r="B2099" i="3"/>
  <c r="U2098" i="3"/>
  <c r="K2098" i="3"/>
  <c r="E2098" i="3"/>
  <c r="B2098" i="3"/>
  <c r="U2097" i="3"/>
  <c r="K2097" i="3"/>
  <c r="E2097" i="3"/>
  <c r="B2097" i="3"/>
  <c r="U2096" i="3"/>
  <c r="K2096" i="3"/>
  <c r="E2096" i="3"/>
  <c r="B2096" i="3"/>
  <c r="U2095" i="3"/>
  <c r="K2095" i="3"/>
  <c r="E2095" i="3"/>
  <c r="B2095" i="3"/>
  <c r="K2094" i="3"/>
  <c r="E2094" i="3"/>
  <c r="B2094" i="3"/>
  <c r="U2093" i="3"/>
  <c r="K2093" i="3"/>
  <c r="E2093" i="3"/>
  <c r="B2093" i="3"/>
  <c r="U2092" i="3"/>
  <c r="K2092" i="3"/>
  <c r="E2092" i="3"/>
  <c r="B2092" i="3"/>
  <c r="U2091" i="3"/>
  <c r="K2091" i="3"/>
  <c r="E2091" i="3"/>
  <c r="B2091" i="3"/>
  <c r="U2090" i="3"/>
  <c r="K2090" i="3"/>
  <c r="E2090" i="3"/>
  <c r="B2090" i="3"/>
  <c r="U2089" i="3"/>
  <c r="K2089" i="3"/>
  <c r="E2089" i="3"/>
  <c r="B2089" i="3"/>
  <c r="U2088" i="3"/>
  <c r="K2088" i="3"/>
  <c r="E2088" i="3"/>
  <c r="B2088" i="3"/>
  <c r="U2087" i="3"/>
  <c r="K2087" i="3"/>
  <c r="E2087" i="3"/>
  <c r="B2087" i="3"/>
  <c r="U2086" i="3"/>
  <c r="K2086" i="3"/>
  <c r="E2086" i="3"/>
  <c r="B2086" i="3"/>
  <c r="U2085" i="3"/>
  <c r="K2085" i="3"/>
  <c r="E2085" i="3"/>
  <c r="B2085" i="3"/>
  <c r="U2084" i="3"/>
  <c r="K2084" i="3"/>
  <c r="E2084" i="3"/>
  <c r="B2084" i="3"/>
  <c r="U2083" i="3"/>
  <c r="K2083" i="3"/>
  <c r="E2083" i="3"/>
  <c r="B2083" i="3"/>
  <c r="U2082" i="3"/>
  <c r="K2082" i="3"/>
  <c r="E2082" i="3"/>
  <c r="B2082" i="3"/>
  <c r="U2081" i="3"/>
  <c r="K2081" i="3"/>
  <c r="E2081" i="3"/>
  <c r="B2081" i="3"/>
  <c r="U2080" i="3"/>
  <c r="K2080" i="3"/>
  <c r="E2080" i="3"/>
  <c r="B2080" i="3"/>
  <c r="U2079" i="3"/>
  <c r="K2079" i="3"/>
  <c r="E2079" i="3"/>
  <c r="B2079" i="3"/>
  <c r="U2078" i="3"/>
  <c r="K2078" i="3"/>
  <c r="E2078" i="3"/>
  <c r="B2078" i="3"/>
  <c r="U2077" i="3"/>
  <c r="K2077" i="3"/>
  <c r="E2077" i="3"/>
  <c r="B2077" i="3"/>
  <c r="U2076" i="3"/>
  <c r="K2076" i="3"/>
  <c r="E2076" i="3"/>
  <c r="B2076" i="3"/>
  <c r="U2075" i="3"/>
  <c r="K2075" i="3"/>
  <c r="E2075" i="3"/>
  <c r="B2075" i="3"/>
  <c r="U2074" i="3"/>
  <c r="K2074" i="3"/>
  <c r="E2074" i="3"/>
  <c r="B2074" i="3"/>
  <c r="K2073" i="3"/>
  <c r="E2073" i="3"/>
  <c r="B2073" i="3"/>
  <c r="U2072" i="3"/>
  <c r="K2072" i="3"/>
  <c r="E2072" i="3"/>
  <c r="B2072" i="3"/>
  <c r="U2071" i="3"/>
  <c r="K2071" i="3"/>
  <c r="E2071" i="3"/>
  <c r="B2071" i="3"/>
  <c r="U2070" i="3"/>
  <c r="K2070" i="3"/>
  <c r="E2070" i="3"/>
  <c r="B2070" i="3"/>
  <c r="U2069" i="3"/>
  <c r="K2069" i="3"/>
  <c r="E2069" i="3"/>
  <c r="B2069" i="3"/>
  <c r="U2068" i="3"/>
  <c r="K2068" i="3"/>
  <c r="E2068" i="3"/>
  <c r="B2068" i="3"/>
  <c r="U2067" i="3"/>
  <c r="K2067" i="3"/>
  <c r="E2067" i="3"/>
  <c r="B2067" i="3"/>
  <c r="U2066" i="3"/>
  <c r="K2066" i="3"/>
  <c r="E2066" i="3"/>
  <c r="B2066" i="3"/>
  <c r="U2065" i="3"/>
  <c r="K2065" i="3"/>
  <c r="E2065" i="3"/>
  <c r="B2065" i="3"/>
  <c r="K2064" i="3"/>
  <c r="E2064" i="3"/>
  <c r="B2064" i="3"/>
  <c r="U2063" i="3"/>
  <c r="K2063" i="3"/>
  <c r="E2063" i="3"/>
  <c r="B2063" i="3"/>
  <c r="U2062" i="3"/>
  <c r="K2062" i="3"/>
  <c r="E2062" i="3"/>
  <c r="B2062" i="3"/>
  <c r="U2061" i="3"/>
  <c r="K2061" i="3"/>
  <c r="E2061" i="3"/>
  <c r="B2061" i="3"/>
  <c r="U2060" i="3"/>
  <c r="K2060" i="3"/>
  <c r="E2060" i="3"/>
  <c r="B2060" i="3"/>
  <c r="U2059" i="3"/>
  <c r="K2059" i="3"/>
  <c r="E2059" i="3"/>
  <c r="B2059" i="3"/>
  <c r="U2058" i="3"/>
  <c r="K2058" i="3"/>
  <c r="E2058" i="3"/>
  <c r="B2058" i="3"/>
  <c r="U2057" i="3"/>
  <c r="K2057" i="3"/>
  <c r="E2057" i="3"/>
  <c r="B2057" i="3"/>
  <c r="U2056" i="3"/>
  <c r="K2056" i="3"/>
  <c r="E2056" i="3"/>
  <c r="B2056" i="3"/>
  <c r="U2055" i="3"/>
  <c r="K2055" i="3"/>
  <c r="E2055" i="3"/>
  <c r="B2055" i="3"/>
  <c r="U2054" i="3"/>
  <c r="K2054" i="3"/>
  <c r="E2054" i="3"/>
  <c r="B2054" i="3"/>
  <c r="U2053" i="3"/>
  <c r="K2053" i="3"/>
  <c r="E2053" i="3"/>
  <c r="B2053" i="3"/>
  <c r="U2052" i="3"/>
  <c r="K2052" i="3"/>
  <c r="E2052" i="3"/>
  <c r="B2052" i="3"/>
  <c r="U2051" i="3"/>
  <c r="K2051" i="3"/>
  <c r="E2051" i="3"/>
  <c r="B2051" i="3"/>
  <c r="U2050" i="3"/>
  <c r="K2050" i="3"/>
  <c r="E2050" i="3"/>
  <c r="B2050" i="3"/>
  <c r="U2049" i="3"/>
  <c r="K2049" i="3"/>
  <c r="E2049" i="3"/>
  <c r="B2049" i="3"/>
  <c r="U2048" i="3"/>
  <c r="K2048" i="3"/>
  <c r="E2048" i="3"/>
  <c r="B2048" i="3"/>
  <c r="U2047" i="3"/>
  <c r="K2047" i="3"/>
  <c r="E2047" i="3"/>
  <c r="B2047" i="3"/>
  <c r="U2046" i="3"/>
  <c r="K2046" i="3"/>
  <c r="E2046" i="3"/>
  <c r="B2046" i="3"/>
  <c r="U2045" i="3"/>
  <c r="K2045" i="3"/>
  <c r="E2045" i="3"/>
  <c r="B2045" i="3"/>
  <c r="U2044" i="3"/>
  <c r="K2044" i="3"/>
  <c r="E2044" i="3"/>
  <c r="B2044" i="3"/>
  <c r="U2043" i="3"/>
  <c r="K2043" i="3"/>
  <c r="E2043" i="3"/>
  <c r="B2043" i="3"/>
  <c r="U2042" i="3"/>
  <c r="K2042" i="3"/>
  <c r="E2042" i="3"/>
  <c r="B2042" i="3"/>
  <c r="U2041" i="3"/>
  <c r="K2041" i="3"/>
  <c r="E2041" i="3"/>
  <c r="B2041" i="3"/>
  <c r="U2040" i="3"/>
  <c r="K2040" i="3"/>
  <c r="E2040" i="3"/>
  <c r="B2040" i="3"/>
  <c r="U2039" i="3"/>
  <c r="K2039" i="3"/>
  <c r="E2039" i="3"/>
  <c r="B2039" i="3"/>
  <c r="U2038" i="3"/>
  <c r="K2038" i="3"/>
  <c r="E2038" i="3"/>
  <c r="B2038" i="3"/>
  <c r="U2037" i="3"/>
  <c r="K2037" i="3"/>
  <c r="E2037" i="3"/>
  <c r="B2037" i="3"/>
  <c r="U2036" i="3"/>
  <c r="K2036" i="3"/>
  <c r="E2036" i="3"/>
  <c r="B2036" i="3"/>
  <c r="U2035" i="3"/>
  <c r="K2035" i="3"/>
  <c r="E2035" i="3"/>
  <c r="B2035" i="3"/>
  <c r="U2034" i="3"/>
  <c r="K2034" i="3"/>
  <c r="E2034" i="3"/>
  <c r="B2034" i="3"/>
  <c r="U2033" i="3"/>
  <c r="K2033" i="3"/>
  <c r="E2033" i="3"/>
  <c r="B2033" i="3"/>
  <c r="U2032" i="3"/>
  <c r="K2032" i="3"/>
  <c r="E2032" i="3"/>
  <c r="B2032" i="3"/>
  <c r="U2031" i="3"/>
  <c r="K2031" i="3"/>
  <c r="E2031" i="3"/>
  <c r="B2031" i="3"/>
  <c r="U2030" i="3"/>
  <c r="K2030" i="3"/>
  <c r="E2030" i="3"/>
  <c r="B2030" i="3"/>
  <c r="U2029" i="3"/>
  <c r="K2029" i="3"/>
  <c r="E2029" i="3"/>
  <c r="B2029" i="3"/>
  <c r="U2028" i="3"/>
  <c r="K2028" i="3"/>
  <c r="E2028" i="3"/>
  <c r="B2028" i="3"/>
  <c r="U2027" i="3"/>
  <c r="K2027" i="3"/>
  <c r="E2027" i="3"/>
  <c r="B2027" i="3"/>
  <c r="U2026" i="3"/>
  <c r="K2026" i="3"/>
  <c r="E2026" i="3"/>
  <c r="B2026" i="3"/>
  <c r="U2025" i="3"/>
  <c r="K2025" i="3"/>
  <c r="E2025" i="3"/>
  <c r="B2025" i="3"/>
  <c r="U2024" i="3"/>
  <c r="K2024" i="3"/>
  <c r="E2024" i="3"/>
  <c r="B2024" i="3"/>
  <c r="U2023" i="3"/>
  <c r="K2023" i="3"/>
  <c r="E2023" i="3"/>
  <c r="B2023" i="3"/>
  <c r="U2022" i="3"/>
  <c r="K2022" i="3"/>
  <c r="E2022" i="3"/>
  <c r="B2022" i="3"/>
  <c r="U2021" i="3"/>
  <c r="K2021" i="3"/>
  <c r="E2021" i="3"/>
  <c r="B2021" i="3"/>
  <c r="U2020" i="3"/>
  <c r="K2020" i="3"/>
  <c r="E2020" i="3"/>
  <c r="B2020" i="3"/>
  <c r="U2019" i="3"/>
  <c r="K2019" i="3"/>
  <c r="E2019" i="3"/>
  <c r="B2019" i="3"/>
  <c r="U2018" i="3"/>
  <c r="K2018" i="3"/>
  <c r="E2018" i="3"/>
  <c r="B2018" i="3"/>
  <c r="U2017" i="3"/>
  <c r="K2017" i="3"/>
  <c r="E2017" i="3"/>
  <c r="B2017" i="3"/>
  <c r="U2016" i="3"/>
  <c r="K2016" i="3"/>
  <c r="E2016" i="3"/>
  <c r="B2016" i="3"/>
  <c r="U2015" i="3"/>
  <c r="K2015" i="3"/>
  <c r="E2015" i="3"/>
  <c r="B2015" i="3"/>
  <c r="U2014" i="3"/>
  <c r="K2014" i="3"/>
  <c r="E2014" i="3"/>
  <c r="B2014" i="3"/>
  <c r="U2013" i="3"/>
  <c r="K2013" i="3"/>
  <c r="E2013" i="3"/>
  <c r="B2013" i="3"/>
  <c r="U2012" i="3"/>
  <c r="K2012" i="3"/>
  <c r="E2012" i="3"/>
  <c r="B2012" i="3"/>
  <c r="U2011" i="3"/>
  <c r="K2011" i="3"/>
  <c r="E2011" i="3"/>
  <c r="B2011" i="3"/>
  <c r="U2010" i="3"/>
  <c r="K2010" i="3"/>
  <c r="E2010" i="3"/>
  <c r="B2010" i="3"/>
  <c r="U2009" i="3"/>
  <c r="K2009" i="3"/>
  <c r="E2009" i="3"/>
  <c r="B2009" i="3"/>
  <c r="U2008" i="3"/>
  <c r="K2008" i="3"/>
  <c r="E2008" i="3"/>
  <c r="B2008" i="3"/>
  <c r="U2007" i="3"/>
  <c r="K2007" i="3"/>
  <c r="E2007" i="3"/>
  <c r="B2007" i="3"/>
  <c r="U2006" i="3"/>
  <c r="K2006" i="3"/>
  <c r="E2006" i="3"/>
  <c r="B2006" i="3"/>
  <c r="U2005" i="3"/>
  <c r="K2005" i="3"/>
  <c r="E2005" i="3"/>
  <c r="B2005" i="3"/>
  <c r="U2004" i="3"/>
  <c r="K2004" i="3"/>
  <c r="E2004" i="3"/>
  <c r="B2004" i="3"/>
  <c r="U2003" i="3"/>
  <c r="K2003" i="3"/>
  <c r="E2003" i="3"/>
  <c r="B2003" i="3"/>
  <c r="U2002" i="3"/>
  <c r="K2002" i="3"/>
  <c r="E2002" i="3"/>
  <c r="B2002" i="3"/>
  <c r="U2001" i="3"/>
  <c r="K2001" i="3"/>
  <c r="E2001" i="3"/>
  <c r="B2001" i="3"/>
  <c r="U2000" i="3"/>
  <c r="K2000" i="3"/>
  <c r="E2000" i="3"/>
  <c r="B2000" i="3"/>
  <c r="U1999" i="3"/>
  <c r="K1999" i="3"/>
  <c r="E1999" i="3"/>
  <c r="B1999" i="3"/>
  <c r="U1998" i="3"/>
  <c r="K1998" i="3"/>
  <c r="E1998" i="3"/>
  <c r="B1998" i="3"/>
  <c r="U1997" i="3"/>
  <c r="K1997" i="3"/>
  <c r="E1997" i="3"/>
  <c r="B1997" i="3"/>
  <c r="U1996" i="3"/>
  <c r="K1996" i="3"/>
  <c r="E1996" i="3"/>
  <c r="B1996" i="3"/>
  <c r="U1995" i="3"/>
  <c r="K1995" i="3"/>
  <c r="E1995" i="3"/>
  <c r="B1995" i="3"/>
  <c r="U1994" i="3"/>
  <c r="K1994" i="3"/>
  <c r="E1994" i="3"/>
  <c r="B1994" i="3"/>
  <c r="U1993" i="3"/>
  <c r="K1993" i="3"/>
  <c r="E1993" i="3"/>
  <c r="B1993" i="3"/>
  <c r="U1992" i="3"/>
  <c r="K1992" i="3"/>
  <c r="E1992" i="3"/>
  <c r="B1992" i="3"/>
  <c r="U1991" i="3"/>
  <c r="K1991" i="3"/>
  <c r="E1991" i="3"/>
  <c r="B1991" i="3"/>
  <c r="U1990" i="3"/>
  <c r="K1990" i="3"/>
  <c r="E1990" i="3"/>
  <c r="B1990" i="3"/>
  <c r="U1989" i="3"/>
  <c r="K1989" i="3"/>
  <c r="E1989" i="3"/>
  <c r="B1989" i="3"/>
  <c r="U1988" i="3"/>
  <c r="K1988" i="3"/>
  <c r="E1988" i="3"/>
  <c r="B1988" i="3"/>
  <c r="U1987" i="3"/>
  <c r="K1987" i="3"/>
  <c r="E1987" i="3"/>
  <c r="B1987" i="3"/>
  <c r="U1986" i="3"/>
  <c r="K1986" i="3"/>
  <c r="E1986" i="3"/>
  <c r="B1986" i="3"/>
  <c r="U1985" i="3"/>
  <c r="K1985" i="3"/>
  <c r="E1985" i="3"/>
  <c r="B1985" i="3"/>
  <c r="U1984" i="3"/>
  <c r="K1984" i="3"/>
  <c r="E1984" i="3"/>
  <c r="B1984" i="3"/>
  <c r="U1983" i="3"/>
  <c r="K1983" i="3"/>
  <c r="E1983" i="3"/>
  <c r="B1983" i="3"/>
  <c r="U1982" i="3"/>
  <c r="K1982" i="3"/>
  <c r="E1982" i="3"/>
  <c r="B1982" i="3"/>
  <c r="U1981" i="3"/>
  <c r="K1981" i="3"/>
  <c r="E1981" i="3"/>
  <c r="B1981" i="3"/>
  <c r="U1980" i="3"/>
  <c r="K1980" i="3"/>
  <c r="E1980" i="3"/>
  <c r="B1980" i="3"/>
  <c r="U1979" i="3"/>
  <c r="K1979" i="3"/>
  <c r="E1979" i="3"/>
  <c r="B1979" i="3"/>
  <c r="U1978" i="3"/>
  <c r="K1978" i="3"/>
  <c r="E1978" i="3"/>
  <c r="B1978" i="3"/>
  <c r="U1977" i="3"/>
  <c r="K1977" i="3"/>
  <c r="E1977" i="3"/>
  <c r="B1977" i="3"/>
  <c r="U1976" i="3"/>
  <c r="K1976" i="3"/>
  <c r="E1976" i="3"/>
  <c r="B1976" i="3"/>
  <c r="U1975" i="3"/>
  <c r="K1975" i="3"/>
  <c r="E1975" i="3"/>
  <c r="B1975" i="3"/>
  <c r="U1974" i="3"/>
  <c r="K1974" i="3"/>
  <c r="E1974" i="3"/>
  <c r="B1974" i="3"/>
  <c r="U1973" i="3"/>
  <c r="K1973" i="3"/>
  <c r="E1973" i="3"/>
  <c r="B1973" i="3"/>
  <c r="K1972" i="3"/>
  <c r="E1972" i="3"/>
  <c r="B1972" i="3"/>
  <c r="U1971" i="3"/>
  <c r="K1971" i="3"/>
  <c r="E1971" i="3"/>
  <c r="B1971" i="3"/>
  <c r="U1970" i="3"/>
  <c r="K1970" i="3"/>
  <c r="E1970" i="3"/>
  <c r="B1970" i="3"/>
  <c r="U1969" i="3"/>
  <c r="K1969" i="3"/>
  <c r="E1969" i="3"/>
  <c r="B1969" i="3"/>
  <c r="U1968" i="3"/>
  <c r="K1968" i="3"/>
  <c r="E1968" i="3"/>
  <c r="B1968" i="3"/>
  <c r="U1967" i="3"/>
  <c r="K1967" i="3"/>
  <c r="E1967" i="3"/>
  <c r="B1967" i="3"/>
  <c r="U1966" i="3"/>
  <c r="K1966" i="3"/>
  <c r="E1966" i="3"/>
  <c r="B1966" i="3"/>
  <c r="U1965" i="3"/>
  <c r="K1965" i="3"/>
  <c r="E1965" i="3"/>
  <c r="B1965" i="3"/>
  <c r="U1964" i="3"/>
  <c r="K1964" i="3"/>
  <c r="E1964" i="3"/>
  <c r="B1964" i="3"/>
  <c r="U1963" i="3"/>
  <c r="K1963" i="3"/>
  <c r="E1963" i="3"/>
  <c r="B1963" i="3"/>
  <c r="U1962" i="3"/>
  <c r="K1962" i="3"/>
  <c r="E1962" i="3"/>
  <c r="B1962" i="3"/>
  <c r="U1961" i="3"/>
  <c r="K1961" i="3"/>
  <c r="E1961" i="3"/>
  <c r="B1961" i="3"/>
  <c r="U1960" i="3"/>
  <c r="K1960" i="3"/>
  <c r="E1960" i="3"/>
  <c r="B1960" i="3"/>
  <c r="U1959" i="3"/>
  <c r="K1959" i="3"/>
  <c r="E1959" i="3"/>
  <c r="B1959" i="3"/>
  <c r="U1958" i="3"/>
  <c r="K1958" i="3"/>
  <c r="E1958" i="3"/>
  <c r="B1958" i="3"/>
  <c r="U1957" i="3"/>
  <c r="K1957" i="3"/>
  <c r="E1957" i="3"/>
  <c r="B1957" i="3"/>
  <c r="U1956" i="3"/>
  <c r="K1956" i="3"/>
  <c r="E1956" i="3"/>
  <c r="B1956" i="3"/>
  <c r="U1955" i="3"/>
  <c r="K1955" i="3"/>
  <c r="E1955" i="3"/>
  <c r="B1955" i="3"/>
  <c r="U1954" i="3"/>
  <c r="K1954" i="3"/>
  <c r="E1954" i="3"/>
  <c r="B1954" i="3"/>
  <c r="U1953" i="3"/>
  <c r="K1953" i="3"/>
  <c r="E1953" i="3"/>
  <c r="B1953" i="3"/>
  <c r="U1952" i="3"/>
  <c r="K1952" i="3"/>
  <c r="E1952" i="3"/>
  <c r="B1952" i="3"/>
  <c r="U1951" i="3"/>
  <c r="K1951" i="3"/>
  <c r="E1951" i="3"/>
  <c r="B1951" i="3"/>
  <c r="U1950" i="3"/>
  <c r="K1950" i="3"/>
  <c r="E1950" i="3"/>
  <c r="B1950" i="3"/>
  <c r="U1949" i="3"/>
  <c r="K1949" i="3"/>
  <c r="E1949" i="3"/>
  <c r="B1949" i="3"/>
  <c r="K1948" i="3"/>
  <c r="E1948" i="3"/>
  <c r="B1948" i="3"/>
  <c r="U1947" i="3"/>
  <c r="K1947" i="3"/>
  <c r="E1947" i="3"/>
  <c r="B1947" i="3"/>
  <c r="U1946" i="3"/>
  <c r="K1946" i="3"/>
  <c r="E1946" i="3"/>
  <c r="B1946" i="3"/>
  <c r="U1945" i="3"/>
  <c r="K1945" i="3"/>
  <c r="E1945" i="3"/>
  <c r="B1945" i="3"/>
  <c r="U1944" i="3"/>
  <c r="K1944" i="3"/>
  <c r="E1944" i="3"/>
  <c r="B1944" i="3"/>
  <c r="U1943" i="3"/>
  <c r="K1943" i="3"/>
  <c r="E1943" i="3"/>
  <c r="B1943" i="3"/>
  <c r="U1942" i="3"/>
  <c r="K1942" i="3"/>
  <c r="E1942" i="3"/>
  <c r="B1942" i="3"/>
  <c r="U1941" i="3"/>
  <c r="K1941" i="3"/>
  <c r="E1941" i="3"/>
  <c r="B1941" i="3"/>
  <c r="U1940" i="3"/>
  <c r="K1940" i="3"/>
  <c r="E1940" i="3"/>
  <c r="B1940" i="3"/>
  <c r="U1939" i="3"/>
  <c r="K1939" i="3"/>
  <c r="E1939" i="3"/>
  <c r="B1939" i="3"/>
  <c r="U1938" i="3"/>
  <c r="K1938" i="3"/>
  <c r="E1938" i="3"/>
  <c r="B1938" i="3"/>
  <c r="U1937" i="3"/>
  <c r="K1937" i="3"/>
  <c r="E1937" i="3"/>
  <c r="B1937" i="3"/>
  <c r="U1936" i="3"/>
  <c r="K1936" i="3"/>
  <c r="E1936" i="3"/>
  <c r="B1936" i="3"/>
  <c r="U1935" i="3"/>
  <c r="K1935" i="3"/>
  <c r="E1935" i="3"/>
  <c r="B1935" i="3"/>
  <c r="U1934" i="3"/>
  <c r="K1934" i="3"/>
  <c r="E1934" i="3"/>
  <c r="B1934" i="3"/>
  <c r="U1933" i="3"/>
  <c r="K1933" i="3"/>
  <c r="E1933" i="3"/>
  <c r="B1933" i="3"/>
  <c r="U1932" i="3"/>
  <c r="K1932" i="3"/>
  <c r="E1932" i="3"/>
  <c r="B1932" i="3"/>
  <c r="U1931" i="3"/>
  <c r="K1931" i="3"/>
  <c r="E1931" i="3"/>
  <c r="B1931" i="3"/>
  <c r="U1930" i="3"/>
  <c r="K1930" i="3"/>
  <c r="E1930" i="3"/>
  <c r="B1930" i="3"/>
  <c r="U1929" i="3"/>
  <c r="K1929" i="3"/>
  <c r="E1929" i="3"/>
  <c r="B1929" i="3"/>
  <c r="U1928" i="3"/>
  <c r="K1928" i="3"/>
  <c r="E1928" i="3"/>
  <c r="B1928" i="3"/>
  <c r="K1927" i="3"/>
  <c r="E1927" i="3"/>
  <c r="B1927" i="3"/>
  <c r="U1926" i="3"/>
  <c r="K1926" i="3"/>
  <c r="E1926" i="3"/>
  <c r="B1926" i="3"/>
  <c r="U1925" i="3"/>
  <c r="K1925" i="3"/>
  <c r="E1925" i="3"/>
  <c r="B1925" i="3"/>
  <c r="U1924" i="3"/>
  <c r="K1924" i="3"/>
  <c r="E1924" i="3"/>
  <c r="B1924" i="3"/>
  <c r="U1923" i="3"/>
  <c r="K1923" i="3"/>
  <c r="E1923" i="3"/>
  <c r="B1923" i="3"/>
  <c r="U1922" i="3"/>
  <c r="K1922" i="3"/>
  <c r="E1922" i="3"/>
  <c r="B1922" i="3"/>
  <c r="K1921" i="3"/>
  <c r="E1921" i="3"/>
  <c r="B1921" i="3"/>
  <c r="U1920" i="3"/>
  <c r="K1920" i="3"/>
  <c r="E1920" i="3"/>
  <c r="B1920" i="3"/>
  <c r="U1919" i="3"/>
  <c r="K1919" i="3"/>
  <c r="E1919" i="3"/>
  <c r="B1919" i="3"/>
  <c r="U1918" i="3"/>
  <c r="K1918" i="3"/>
  <c r="E1918" i="3"/>
  <c r="B1918" i="3"/>
  <c r="U1917" i="3"/>
  <c r="K1917" i="3"/>
  <c r="E1917" i="3"/>
  <c r="B1917" i="3"/>
  <c r="U1916" i="3"/>
  <c r="K1916" i="3"/>
  <c r="E1916" i="3"/>
  <c r="B1916" i="3"/>
  <c r="U1915" i="3"/>
  <c r="K1915" i="3"/>
  <c r="E1915" i="3"/>
  <c r="B1915" i="3"/>
  <c r="U1914" i="3"/>
  <c r="K1914" i="3"/>
  <c r="E1914" i="3"/>
  <c r="B1914" i="3"/>
  <c r="U1913" i="3"/>
  <c r="K1913" i="3"/>
  <c r="E1913" i="3"/>
  <c r="B1913" i="3"/>
  <c r="U1912" i="3"/>
  <c r="K1912" i="3"/>
  <c r="E1912" i="3"/>
  <c r="B1912" i="3"/>
  <c r="U1911" i="3"/>
  <c r="K1911" i="3"/>
  <c r="E1911" i="3"/>
  <c r="B1911" i="3"/>
  <c r="U1910" i="3"/>
  <c r="K1910" i="3"/>
  <c r="E1910" i="3"/>
  <c r="B1910" i="3"/>
  <c r="U1909" i="3"/>
  <c r="K1909" i="3"/>
  <c r="E1909" i="3"/>
  <c r="B1909" i="3"/>
  <c r="U1908" i="3"/>
  <c r="K1908" i="3"/>
  <c r="E1908" i="3"/>
  <c r="B1908" i="3"/>
  <c r="U1907" i="3"/>
  <c r="K1907" i="3"/>
  <c r="E1907" i="3"/>
  <c r="B1907" i="3"/>
  <c r="U1906" i="3"/>
  <c r="K1906" i="3"/>
  <c r="E1906" i="3"/>
  <c r="B1906" i="3"/>
  <c r="U1905" i="3"/>
  <c r="K1905" i="3"/>
  <c r="E1905" i="3"/>
  <c r="B1905" i="3"/>
  <c r="U1904" i="3"/>
  <c r="K1904" i="3"/>
  <c r="E1904" i="3"/>
  <c r="B1904" i="3"/>
  <c r="U1903" i="3"/>
  <c r="K1903" i="3"/>
  <c r="E1903" i="3"/>
  <c r="B1903" i="3"/>
  <c r="U1902" i="3"/>
  <c r="K1902" i="3"/>
  <c r="E1902" i="3"/>
  <c r="B1902" i="3"/>
  <c r="U1901" i="3"/>
  <c r="K1901" i="3"/>
  <c r="E1901" i="3"/>
  <c r="B1901" i="3"/>
  <c r="U1900" i="3"/>
  <c r="K1900" i="3"/>
  <c r="E1900" i="3"/>
  <c r="B1900" i="3"/>
  <c r="U1899" i="3"/>
  <c r="K1899" i="3"/>
  <c r="E1899" i="3"/>
  <c r="B1899" i="3"/>
  <c r="U1898" i="3"/>
  <c r="K1898" i="3"/>
  <c r="E1898" i="3"/>
  <c r="B1898" i="3"/>
  <c r="U1897" i="3"/>
  <c r="K1897" i="3"/>
  <c r="E1897" i="3"/>
  <c r="B1897" i="3"/>
  <c r="U1896" i="3"/>
  <c r="K1896" i="3"/>
  <c r="E1896" i="3"/>
  <c r="B1896" i="3"/>
  <c r="U1895" i="3"/>
  <c r="K1895" i="3"/>
  <c r="E1895" i="3"/>
  <c r="B1895" i="3"/>
  <c r="U1894" i="3"/>
  <c r="K1894" i="3"/>
  <c r="E1894" i="3"/>
  <c r="B1894" i="3"/>
  <c r="U1893" i="3"/>
  <c r="K1893" i="3"/>
  <c r="E1893" i="3"/>
  <c r="B1893" i="3"/>
  <c r="U1892" i="3"/>
  <c r="K1892" i="3"/>
  <c r="E1892" i="3"/>
  <c r="B1892" i="3"/>
  <c r="U1891" i="3"/>
  <c r="K1891" i="3"/>
  <c r="E1891" i="3"/>
  <c r="B1891" i="3"/>
  <c r="U1890" i="3"/>
  <c r="K1890" i="3"/>
  <c r="E1890" i="3"/>
  <c r="B1890" i="3"/>
  <c r="U1889" i="3"/>
  <c r="K1889" i="3"/>
  <c r="E1889" i="3"/>
  <c r="B1889" i="3"/>
  <c r="U1888" i="3"/>
  <c r="K1888" i="3"/>
  <c r="E1888" i="3"/>
  <c r="B1888" i="3"/>
  <c r="U1887" i="3"/>
  <c r="K1887" i="3"/>
  <c r="E1887" i="3"/>
  <c r="B1887" i="3"/>
  <c r="U1886" i="3"/>
  <c r="K1886" i="3"/>
  <c r="E1886" i="3"/>
  <c r="B1886" i="3"/>
  <c r="U1885" i="3"/>
  <c r="K1885" i="3"/>
  <c r="E1885" i="3"/>
  <c r="B1885" i="3"/>
  <c r="U1884" i="3"/>
  <c r="K1884" i="3"/>
  <c r="E1884" i="3"/>
  <c r="B1884" i="3"/>
  <c r="U1883" i="3"/>
  <c r="K1883" i="3"/>
  <c r="E1883" i="3"/>
  <c r="B1883" i="3"/>
  <c r="U1882" i="3"/>
  <c r="K1882" i="3"/>
  <c r="E1882" i="3"/>
  <c r="B1882" i="3"/>
  <c r="U1881" i="3"/>
  <c r="K1881" i="3"/>
  <c r="E1881" i="3"/>
  <c r="B1881" i="3"/>
  <c r="U1880" i="3"/>
  <c r="K1880" i="3"/>
  <c r="E1880" i="3"/>
  <c r="B1880" i="3"/>
  <c r="U1879" i="3"/>
  <c r="K1879" i="3"/>
  <c r="E1879" i="3"/>
  <c r="B1879" i="3"/>
  <c r="U1878" i="3"/>
  <c r="K1878" i="3"/>
  <c r="E1878" i="3"/>
  <c r="B1878" i="3"/>
  <c r="U1877" i="3"/>
  <c r="K1877" i="3"/>
  <c r="E1877" i="3"/>
  <c r="B1877" i="3"/>
  <c r="U1876" i="3"/>
  <c r="K1876" i="3"/>
  <c r="E1876" i="3"/>
  <c r="B1876" i="3"/>
  <c r="U1875" i="3"/>
  <c r="K1875" i="3"/>
  <c r="E1875" i="3"/>
  <c r="B1875" i="3"/>
  <c r="U1874" i="3"/>
  <c r="K1874" i="3"/>
  <c r="E1874" i="3"/>
  <c r="B1874" i="3"/>
  <c r="U1873" i="3"/>
  <c r="K1873" i="3"/>
  <c r="E1873" i="3"/>
  <c r="B1873" i="3"/>
  <c r="U1872" i="3"/>
  <c r="K1872" i="3"/>
  <c r="E1872" i="3"/>
  <c r="B1872" i="3"/>
  <c r="U1871" i="3"/>
  <c r="K1871" i="3"/>
  <c r="E1871" i="3"/>
  <c r="B1871" i="3"/>
  <c r="U1870" i="3"/>
  <c r="K1870" i="3"/>
  <c r="E1870" i="3"/>
  <c r="B1870" i="3"/>
  <c r="U1869" i="3"/>
  <c r="K1869" i="3"/>
  <c r="E1869" i="3"/>
  <c r="B1869" i="3"/>
  <c r="U1868" i="3"/>
  <c r="K1868" i="3"/>
  <c r="E1868" i="3"/>
  <c r="B1868" i="3"/>
  <c r="U1867" i="3"/>
  <c r="K1867" i="3"/>
  <c r="E1867" i="3"/>
  <c r="B1867" i="3"/>
  <c r="U1866" i="3"/>
  <c r="K1866" i="3"/>
  <c r="E1866" i="3"/>
  <c r="B1866" i="3"/>
  <c r="U1865" i="3"/>
  <c r="K1865" i="3"/>
  <c r="E1865" i="3"/>
  <c r="B1865" i="3"/>
  <c r="U1864" i="3"/>
  <c r="K1864" i="3"/>
  <c r="E1864" i="3"/>
  <c r="B1864" i="3"/>
  <c r="U1863" i="3"/>
  <c r="K1863" i="3"/>
  <c r="E1863" i="3"/>
  <c r="B1863" i="3"/>
  <c r="U1862" i="3"/>
  <c r="K1862" i="3"/>
  <c r="E1862" i="3"/>
  <c r="B1862" i="3"/>
  <c r="U1861" i="3"/>
  <c r="K1861" i="3"/>
  <c r="E1861" i="3"/>
  <c r="B1861" i="3"/>
  <c r="U1860" i="3"/>
  <c r="K1860" i="3"/>
  <c r="E1860" i="3"/>
  <c r="B1860" i="3"/>
  <c r="U1859" i="3"/>
  <c r="K1859" i="3"/>
  <c r="E1859" i="3"/>
  <c r="B1859" i="3"/>
  <c r="U1858" i="3"/>
  <c r="K1858" i="3"/>
  <c r="E1858" i="3"/>
  <c r="B1858" i="3"/>
  <c r="U1857" i="3"/>
  <c r="K1857" i="3"/>
  <c r="E1857" i="3"/>
  <c r="B1857" i="3"/>
  <c r="U1856" i="3"/>
  <c r="K1856" i="3"/>
  <c r="E1856" i="3"/>
  <c r="B1856" i="3"/>
  <c r="U1855" i="3"/>
  <c r="K1855" i="3"/>
  <c r="E1855" i="3"/>
  <c r="B1855" i="3"/>
  <c r="U1854" i="3"/>
  <c r="K1854" i="3"/>
  <c r="E1854" i="3"/>
  <c r="B1854" i="3"/>
  <c r="U1853" i="3"/>
  <c r="K1853" i="3"/>
  <c r="E1853" i="3"/>
  <c r="B1853" i="3"/>
  <c r="U1852" i="3"/>
  <c r="K1852" i="3"/>
  <c r="E1852" i="3"/>
  <c r="B1852" i="3"/>
  <c r="U1851" i="3"/>
  <c r="K1851" i="3"/>
  <c r="E1851" i="3"/>
  <c r="B1851" i="3"/>
  <c r="U1850" i="3"/>
  <c r="K1850" i="3"/>
  <c r="E1850" i="3"/>
  <c r="B1850" i="3"/>
  <c r="U1849" i="3"/>
  <c r="K1849" i="3"/>
  <c r="E1849" i="3"/>
  <c r="B1849" i="3"/>
  <c r="U1848" i="3"/>
  <c r="K1848" i="3"/>
  <c r="E1848" i="3"/>
  <c r="B1848" i="3"/>
  <c r="U1847" i="3"/>
  <c r="K1847" i="3"/>
  <c r="E1847" i="3"/>
  <c r="B1847" i="3"/>
  <c r="U1846" i="3"/>
  <c r="K1846" i="3"/>
  <c r="E1846" i="3"/>
  <c r="B1846" i="3"/>
  <c r="U1845" i="3"/>
  <c r="K1845" i="3"/>
  <c r="E1845" i="3"/>
  <c r="B1845" i="3"/>
  <c r="U1844" i="3"/>
  <c r="K1844" i="3"/>
  <c r="E1844" i="3"/>
  <c r="B1844" i="3"/>
  <c r="U1843" i="3"/>
  <c r="K1843" i="3"/>
  <c r="E1843" i="3"/>
  <c r="B1843" i="3"/>
  <c r="U1842" i="3"/>
  <c r="K1842" i="3"/>
  <c r="E1842" i="3"/>
  <c r="B1842" i="3"/>
  <c r="U1841" i="3"/>
  <c r="K1841" i="3"/>
  <c r="E1841" i="3"/>
  <c r="B1841" i="3"/>
  <c r="U1840" i="3"/>
  <c r="K1840" i="3"/>
  <c r="E1840" i="3"/>
  <c r="B1840" i="3"/>
  <c r="U1839" i="3"/>
  <c r="K1839" i="3"/>
  <c r="E1839" i="3"/>
  <c r="B1839" i="3"/>
  <c r="U1838" i="3"/>
  <c r="K1838" i="3"/>
  <c r="E1838" i="3"/>
  <c r="B1838" i="3"/>
  <c r="U1837" i="3"/>
  <c r="K1837" i="3"/>
  <c r="E1837" i="3"/>
  <c r="B1837" i="3"/>
  <c r="U1836" i="3"/>
  <c r="K1836" i="3"/>
  <c r="E1836" i="3"/>
  <c r="B1836" i="3"/>
  <c r="U1835" i="3"/>
  <c r="K1835" i="3"/>
  <c r="E1835" i="3"/>
  <c r="B1835" i="3"/>
  <c r="U1834" i="3"/>
  <c r="K1834" i="3"/>
  <c r="E1834" i="3"/>
  <c r="B1834" i="3"/>
  <c r="U1833" i="3"/>
  <c r="K1833" i="3"/>
  <c r="E1833" i="3"/>
  <c r="B1833" i="3"/>
  <c r="U1832" i="3"/>
  <c r="K1832" i="3"/>
  <c r="E1832" i="3"/>
  <c r="B1832" i="3"/>
  <c r="U1831" i="3"/>
  <c r="K1831" i="3"/>
  <c r="E1831" i="3"/>
  <c r="B1831" i="3"/>
  <c r="U1830" i="3"/>
  <c r="K1830" i="3"/>
  <c r="E1830" i="3"/>
  <c r="B1830" i="3"/>
  <c r="U1829" i="3"/>
  <c r="K1829" i="3"/>
  <c r="E1829" i="3"/>
  <c r="B1829" i="3"/>
  <c r="U1828" i="3"/>
  <c r="K1828" i="3"/>
  <c r="E1828" i="3"/>
  <c r="B1828" i="3"/>
  <c r="U1827" i="3"/>
  <c r="K1827" i="3"/>
  <c r="E1827" i="3"/>
  <c r="B1827" i="3"/>
  <c r="U1826" i="3"/>
  <c r="K1826" i="3"/>
  <c r="E1826" i="3"/>
  <c r="B1826" i="3"/>
  <c r="U1825" i="3"/>
  <c r="K1825" i="3"/>
  <c r="E1825" i="3"/>
  <c r="B1825" i="3"/>
  <c r="U1824" i="3"/>
  <c r="K1824" i="3"/>
  <c r="E1824" i="3"/>
  <c r="B1824" i="3"/>
  <c r="U1823" i="3"/>
  <c r="K1823" i="3"/>
  <c r="E1823" i="3"/>
  <c r="B1823" i="3"/>
  <c r="U1822" i="3"/>
  <c r="K1822" i="3"/>
  <c r="E1822" i="3"/>
  <c r="B1822" i="3"/>
  <c r="U1821" i="3"/>
  <c r="K1821" i="3"/>
  <c r="E1821" i="3"/>
  <c r="B1821" i="3"/>
  <c r="U1820" i="3"/>
  <c r="K1820" i="3"/>
  <c r="E1820" i="3"/>
  <c r="B1820" i="3"/>
  <c r="U1819" i="3"/>
  <c r="K1819" i="3"/>
  <c r="E1819" i="3"/>
  <c r="B1819" i="3"/>
  <c r="U1818" i="3"/>
  <c r="K1818" i="3"/>
  <c r="E1818" i="3"/>
  <c r="B1818" i="3"/>
  <c r="U1817" i="3"/>
  <c r="K1817" i="3"/>
  <c r="E1817" i="3"/>
  <c r="B1817" i="3"/>
  <c r="U1816" i="3"/>
  <c r="K1816" i="3"/>
  <c r="E1816" i="3"/>
  <c r="B1816" i="3"/>
  <c r="U1815" i="3"/>
  <c r="K1815" i="3"/>
  <c r="E1815" i="3"/>
  <c r="B1815" i="3"/>
  <c r="U1814" i="3"/>
  <c r="K1814" i="3"/>
  <c r="E1814" i="3"/>
  <c r="B1814" i="3"/>
  <c r="U1813" i="3"/>
  <c r="K1813" i="3"/>
  <c r="E1813" i="3"/>
  <c r="B1813" i="3"/>
  <c r="U1812" i="3"/>
  <c r="K1812" i="3"/>
  <c r="E1812" i="3"/>
  <c r="B1812" i="3"/>
  <c r="U1811" i="3"/>
  <c r="K1811" i="3"/>
  <c r="E1811" i="3"/>
  <c r="B1811" i="3"/>
  <c r="U1810" i="3"/>
  <c r="K1810" i="3"/>
  <c r="E1810" i="3"/>
  <c r="B1810" i="3"/>
  <c r="U1809" i="3"/>
  <c r="K1809" i="3"/>
  <c r="E1809" i="3"/>
  <c r="B1809" i="3"/>
  <c r="U1808" i="3"/>
  <c r="K1808" i="3"/>
  <c r="E1808" i="3"/>
  <c r="B1808" i="3"/>
  <c r="U1807" i="3"/>
  <c r="K1807" i="3"/>
  <c r="E1807" i="3"/>
  <c r="B1807" i="3"/>
  <c r="U1806" i="3"/>
  <c r="K1806" i="3"/>
  <c r="E1806" i="3"/>
  <c r="B1806" i="3"/>
  <c r="U1805" i="3"/>
  <c r="K1805" i="3"/>
  <c r="E1805" i="3"/>
  <c r="B1805" i="3"/>
  <c r="U1804" i="3"/>
  <c r="K1804" i="3"/>
  <c r="E1804" i="3"/>
  <c r="B1804" i="3"/>
  <c r="U1803" i="3"/>
  <c r="K1803" i="3"/>
  <c r="E1803" i="3"/>
  <c r="B1803" i="3"/>
  <c r="U1802" i="3"/>
  <c r="K1802" i="3"/>
  <c r="E1802" i="3"/>
  <c r="B1802" i="3"/>
  <c r="U1801" i="3"/>
  <c r="K1801" i="3"/>
  <c r="E1801" i="3"/>
  <c r="B1801" i="3"/>
  <c r="U1800" i="3"/>
  <c r="K1800" i="3"/>
  <c r="E1800" i="3"/>
  <c r="B1800" i="3"/>
  <c r="U1799" i="3"/>
  <c r="K1799" i="3"/>
  <c r="E1799" i="3"/>
  <c r="B1799" i="3"/>
  <c r="U1798" i="3"/>
  <c r="K1798" i="3"/>
  <c r="E1798" i="3"/>
  <c r="B1798" i="3"/>
  <c r="U1797" i="3"/>
  <c r="K1797" i="3"/>
  <c r="E1797" i="3"/>
  <c r="B1797" i="3"/>
  <c r="U1796" i="3"/>
  <c r="K1796" i="3"/>
  <c r="E1796" i="3"/>
  <c r="B1796" i="3"/>
  <c r="U1795" i="3"/>
  <c r="K1795" i="3"/>
  <c r="E1795" i="3"/>
  <c r="B1795" i="3"/>
  <c r="U1794" i="3"/>
  <c r="K1794" i="3"/>
  <c r="E1794" i="3"/>
  <c r="B1794" i="3"/>
  <c r="U1793" i="3"/>
  <c r="K1793" i="3"/>
  <c r="E1793" i="3"/>
  <c r="B1793" i="3"/>
  <c r="U1792" i="3"/>
  <c r="K1792" i="3"/>
  <c r="E1792" i="3"/>
  <c r="B1792" i="3"/>
  <c r="U1791" i="3"/>
  <c r="K1791" i="3"/>
  <c r="E1791" i="3"/>
  <c r="B1791" i="3"/>
  <c r="U1790" i="3"/>
  <c r="K1790" i="3"/>
  <c r="E1790" i="3"/>
  <c r="B1790" i="3"/>
  <c r="U1789" i="3"/>
  <c r="K1789" i="3"/>
  <c r="E1789" i="3"/>
  <c r="B1789" i="3"/>
  <c r="U1788" i="3"/>
  <c r="K1788" i="3"/>
  <c r="E1788" i="3"/>
  <c r="B1788" i="3"/>
  <c r="U1787" i="3"/>
  <c r="K1787" i="3"/>
  <c r="E1787" i="3"/>
  <c r="B1787" i="3"/>
  <c r="U1786" i="3"/>
  <c r="K1786" i="3"/>
  <c r="E1786" i="3"/>
  <c r="B1786" i="3"/>
  <c r="U1785" i="3"/>
  <c r="K1785" i="3"/>
  <c r="E1785" i="3"/>
  <c r="B1785" i="3"/>
  <c r="U1784" i="3"/>
  <c r="K1784" i="3"/>
  <c r="E1784" i="3"/>
  <c r="B1784" i="3"/>
  <c r="U1783" i="3"/>
  <c r="K1783" i="3"/>
  <c r="E1783" i="3"/>
  <c r="B1783" i="3"/>
  <c r="U1782" i="3"/>
  <c r="K1782" i="3"/>
  <c r="E1782" i="3"/>
  <c r="B1782" i="3"/>
  <c r="U1781" i="3"/>
  <c r="K1781" i="3"/>
  <c r="E1781" i="3"/>
  <c r="B1781" i="3"/>
  <c r="U1780" i="3"/>
  <c r="K1780" i="3"/>
  <c r="E1780" i="3"/>
  <c r="B1780" i="3"/>
  <c r="U1779" i="3"/>
  <c r="K1779" i="3"/>
  <c r="E1779" i="3"/>
  <c r="B1779" i="3"/>
  <c r="U1778" i="3"/>
  <c r="K1778" i="3"/>
  <c r="E1778" i="3"/>
  <c r="B1778" i="3"/>
  <c r="U1777" i="3"/>
  <c r="K1777" i="3"/>
  <c r="E1777" i="3"/>
  <c r="B1777" i="3"/>
  <c r="U1776" i="3"/>
  <c r="K1776" i="3"/>
  <c r="E1776" i="3"/>
  <c r="B1776" i="3"/>
  <c r="U1775" i="3"/>
  <c r="K1775" i="3"/>
  <c r="E1775" i="3"/>
  <c r="B1775" i="3"/>
  <c r="U1774" i="3"/>
  <c r="K1774" i="3"/>
  <c r="E1774" i="3"/>
  <c r="B1774" i="3"/>
  <c r="U1773" i="3"/>
  <c r="K1773" i="3"/>
  <c r="E1773" i="3"/>
  <c r="B1773" i="3"/>
  <c r="U1772" i="3"/>
  <c r="K1772" i="3"/>
  <c r="E1772" i="3"/>
  <c r="B1772" i="3"/>
  <c r="U1771" i="3"/>
  <c r="K1771" i="3"/>
  <c r="E1771" i="3"/>
  <c r="B1771" i="3"/>
  <c r="U1770" i="3"/>
  <c r="K1770" i="3"/>
  <c r="E1770" i="3"/>
  <c r="B1770" i="3"/>
  <c r="U1769" i="3"/>
  <c r="K1769" i="3"/>
  <c r="E1769" i="3"/>
  <c r="B1769" i="3"/>
  <c r="U1768" i="3"/>
  <c r="K1768" i="3"/>
  <c r="E1768" i="3"/>
  <c r="B1768" i="3"/>
  <c r="U1767" i="3"/>
  <c r="K1767" i="3"/>
  <c r="E1767" i="3"/>
  <c r="B1767" i="3"/>
  <c r="U1766" i="3"/>
  <c r="K1766" i="3"/>
  <c r="E1766" i="3"/>
  <c r="B1766" i="3"/>
  <c r="U1765" i="3"/>
  <c r="K1765" i="3"/>
  <c r="E1765" i="3"/>
  <c r="B1765" i="3"/>
  <c r="U1764" i="3"/>
  <c r="K1764" i="3"/>
  <c r="E1764" i="3"/>
  <c r="B1764" i="3"/>
  <c r="U1763" i="3"/>
  <c r="K1763" i="3"/>
  <c r="E1763" i="3"/>
  <c r="B1763" i="3"/>
  <c r="U1762" i="3"/>
  <c r="K1762" i="3"/>
  <c r="E1762" i="3"/>
  <c r="B1762" i="3"/>
  <c r="U1761" i="3"/>
  <c r="K1761" i="3"/>
  <c r="E1761" i="3"/>
  <c r="B1761" i="3"/>
  <c r="U1760" i="3"/>
  <c r="K1760" i="3"/>
  <c r="E1760" i="3"/>
  <c r="B1760" i="3"/>
  <c r="U1759" i="3"/>
  <c r="K1759" i="3"/>
  <c r="E1759" i="3"/>
  <c r="B1759" i="3"/>
  <c r="U1758" i="3"/>
  <c r="K1758" i="3"/>
  <c r="E1758" i="3"/>
  <c r="B1758" i="3"/>
  <c r="U1757" i="3"/>
  <c r="K1757" i="3"/>
  <c r="E1757" i="3"/>
  <c r="B1757" i="3"/>
  <c r="U1756" i="3"/>
  <c r="K1756" i="3"/>
  <c r="E1756" i="3"/>
  <c r="B1756" i="3"/>
  <c r="U1755" i="3"/>
  <c r="K1755" i="3"/>
  <c r="E1755" i="3"/>
  <c r="B1755" i="3"/>
  <c r="U1754" i="3"/>
  <c r="K1754" i="3"/>
  <c r="E1754" i="3"/>
  <c r="B1754" i="3"/>
  <c r="U1753" i="3"/>
  <c r="K1753" i="3"/>
  <c r="E1753" i="3"/>
  <c r="B1753" i="3"/>
  <c r="U1752" i="3"/>
  <c r="K1752" i="3"/>
  <c r="E1752" i="3"/>
  <c r="B1752" i="3"/>
  <c r="U1751" i="3"/>
  <c r="K1751" i="3"/>
  <c r="E1751" i="3"/>
  <c r="B1751" i="3"/>
  <c r="U1750" i="3"/>
  <c r="K1750" i="3"/>
  <c r="E1750" i="3"/>
  <c r="B1750" i="3"/>
  <c r="U1749" i="3"/>
  <c r="K1749" i="3"/>
  <c r="E1749" i="3"/>
  <c r="B1749" i="3"/>
  <c r="U1748" i="3"/>
  <c r="K1748" i="3"/>
  <c r="E1748" i="3"/>
  <c r="B1748" i="3"/>
  <c r="U1747" i="3"/>
  <c r="K1747" i="3"/>
  <c r="E1747" i="3"/>
  <c r="B1747" i="3"/>
  <c r="U1746" i="3"/>
  <c r="K1746" i="3"/>
  <c r="E1746" i="3"/>
  <c r="B1746" i="3"/>
  <c r="U1745" i="3"/>
  <c r="K1745" i="3"/>
  <c r="E1745" i="3"/>
  <c r="B1745" i="3"/>
  <c r="U1744" i="3"/>
  <c r="K1744" i="3"/>
  <c r="E1744" i="3"/>
  <c r="B1744" i="3"/>
  <c r="U1743" i="3"/>
  <c r="K1743" i="3"/>
  <c r="E1743" i="3"/>
  <c r="B1743" i="3"/>
  <c r="U1742" i="3"/>
  <c r="K1742" i="3"/>
  <c r="E1742" i="3"/>
  <c r="B1742" i="3"/>
  <c r="U1741" i="3"/>
  <c r="K1741" i="3"/>
  <c r="E1741" i="3"/>
  <c r="B1741" i="3"/>
  <c r="U1740" i="3"/>
  <c r="K1740" i="3"/>
  <c r="E1740" i="3"/>
  <c r="B1740" i="3"/>
  <c r="U1739" i="3"/>
  <c r="K1739" i="3"/>
  <c r="E1739" i="3"/>
  <c r="B1739" i="3"/>
  <c r="U1738" i="3"/>
  <c r="K1738" i="3"/>
  <c r="E1738" i="3"/>
  <c r="B1738" i="3"/>
  <c r="U1737" i="3"/>
  <c r="K1737" i="3"/>
  <c r="E1737" i="3"/>
  <c r="B1737" i="3"/>
  <c r="U1736" i="3"/>
  <c r="K1736" i="3"/>
  <c r="E1736" i="3"/>
  <c r="B1736" i="3"/>
  <c r="U1735" i="3"/>
  <c r="K1735" i="3"/>
  <c r="E1735" i="3"/>
  <c r="B1735" i="3"/>
  <c r="U1734" i="3"/>
  <c r="K1734" i="3"/>
  <c r="E1734" i="3"/>
  <c r="B1734" i="3"/>
  <c r="U1733" i="3"/>
  <c r="K1733" i="3"/>
  <c r="E1733" i="3"/>
  <c r="B1733" i="3"/>
  <c r="U1732" i="3"/>
  <c r="K1732" i="3"/>
  <c r="E1732" i="3"/>
  <c r="B1732" i="3"/>
  <c r="U1731" i="3"/>
  <c r="K1731" i="3"/>
  <c r="E1731" i="3"/>
  <c r="B1731" i="3"/>
  <c r="U1730" i="3"/>
  <c r="K1730" i="3"/>
  <c r="E1730" i="3"/>
  <c r="B1730" i="3"/>
  <c r="U1729" i="3"/>
  <c r="K1729" i="3"/>
  <c r="E1729" i="3"/>
  <c r="B1729" i="3"/>
  <c r="U1728" i="3"/>
  <c r="K1728" i="3"/>
  <c r="E1728" i="3"/>
  <c r="B1728" i="3"/>
  <c r="U1727" i="3"/>
  <c r="K1727" i="3"/>
  <c r="E1727" i="3"/>
  <c r="B1727" i="3"/>
  <c r="U1726" i="3"/>
  <c r="K1726" i="3"/>
  <c r="E1726" i="3"/>
  <c r="B1726" i="3"/>
  <c r="U1725" i="3"/>
  <c r="K1725" i="3"/>
  <c r="E1725" i="3"/>
  <c r="B1725" i="3"/>
  <c r="U1724" i="3"/>
  <c r="K1724" i="3"/>
  <c r="E1724" i="3"/>
  <c r="B1724" i="3"/>
  <c r="U1723" i="3"/>
  <c r="K1723" i="3"/>
  <c r="E1723" i="3"/>
  <c r="B1723" i="3"/>
  <c r="U1722" i="3"/>
  <c r="K1722" i="3"/>
  <c r="E1722" i="3"/>
  <c r="B1722" i="3"/>
  <c r="U1721" i="3"/>
  <c r="K1721" i="3"/>
  <c r="E1721" i="3"/>
  <c r="B1721" i="3"/>
  <c r="U1720" i="3"/>
  <c r="K1720" i="3"/>
  <c r="E1720" i="3"/>
  <c r="B1720" i="3"/>
  <c r="U1719" i="3"/>
  <c r="K1719" i="3"/>
  <c r="E1719" i="3"/>
  <c r="B1719" i="3"/>
  <c r="U1718" i="3"/>
  <c r="K1718" i="3"/>
  <c r="E1718" i="3"/>
  <c r="B1718" i="3"/>
  <c r="U1717" i="3"/>
  <c r="K1717" i="3"/>
  <c r="E1717" i="3"/>
  <c r="B1717" i="3"/>
  <c r="U1716" i="3"/>
  <c r="K1716" i="3"/>
  <c r="E1716" i="3"/>
  <c r="B1716" i="3"/>
  <c r="U1715" i="3"/>
  <c r="K1715" i="3"/>
  <c r="E1715" i="3"/>
  <c r="B1715" i="3"/>
  <c r="U1714" i="3"/>
  <c r="K1714" i="3"/>
  <c r="E1714" i="3"/>
  <c r="B1714" i="3"/>
  <c r="U1713" i="3"/>
  <c r="K1713" i="3"/>
  <c r="E1713" i="3"/>
  <c r="B1713" i="3"/>
  <c r="U1712" i="3"/>
  <c r="K1712" i="3"/>
  <c r="E1712" i="3"/>
  <c r="B1712" i="3"/>
  <c r="U1711" i="3"/>
  <c r="K1711" i="3"/>
  <c r="E1711" i="3"/>
  <c r="B1711" i="3"/>
  <c r="U1710" i="3"/>
  <c r="K1710" i="3"/>
  <c r="E1710" i="3"/>
  <c r="B1710" i="3"/>
  <c r="U1709" i="3"/>
  <c r="K1709" i="3"/>
  <c r="E1709" i="3"/>
  <c r="B1709" i="3"/>
  <c r="U1708" i="3"/>
  <c r="K1708" i="3"/>
  <c r="E1708" i="3"/>
  <c r="B1708" i="3"/>
  <c r="U1707" i="3"/>
  <c r="K1707" i="3"/>
  <c r="E1707" i="3"/>
  <c r="B1707" i="3"/>
  <c r="U1706" i="3"/>
  <c r="K1706" i="3"/>
  <c r="E1706" i="3"/>
  <c r="B1706" i="3"/>
  <c r="U1705" i="3"/>
  <c r="K1705" i="3"/>
  <c r="E1705" i="3"/>
  <c r="B1705" i="3"/>
  <c r="U1704" i="3"/>
  <c r="K1704" i="3"/>
  <c r="E1704" i="3"/>
  <c r="B1704" i="3"/>
  <c r="U1703" i="3"/>
  <c r="K1703" i="3"/>
  <c r="E1703" i="3"/>
  <c r="B1703" i="3"/>
  <c r="U1702" i="3"/>
  <c r="K1702" i="3"/>
  <c r="E1702" i="3"/>
  <c r="B1702" i="3"/>
  <c r="U1701" i="3"/>
  <c r="K1701" i="3"/>
  <c r="E1701" i="3"/>
  <c r="B1701" i="3"/>
  <c r="U1700" i="3"/>
  <c r="K1700" i="3"/>
  <c r="E1700" i="3"/>
  <c r="B1700" i="3"/>
  <c r="U1699" i="3"/>
  <c r="K1699" i="3"/>
  <c r="E1699" i="3"/>
  <c r="B1699" i="3"/>
  <c r="U1698" i="3"/>
  <c r="K1698" i="3"/>
  <c r="E1698" i="3"/>
  <c r="B1698" i="3"/>
  <c r="U1697" i="3"/>
  <c r="K1697" i="3"/>
  <c r="E1697" i="3"/>
  <c r="B1697" i="3"/>
  <c r="U1696" i="3"/>
  <c r="K1696" i="3"/>
  <c r="E1696" i="3"/>
  <c r="B1696" i="3"/>
  <c r="U1695" i="3"/>
  <c r="K1695" i="3"/>
  <c r="E1695" i="3"/>
  <c r="B1695" i="3"/>
  <c r="U1694" i="3"/>
  <c r="K1694" i="3"/>
  <c r="E1694" i="3"/>
  <c r="B1694" i="3"/>
  <c r="U1693" i="3"/>
  <c r="K1693" i="3"/>
  <c r="E1693" i="3"/>
  <c r="B1693" i="3"/>
  <c r="U1692" i="3"/>
  <c r="K1692" i="3"/>
  <c r="E1692" i="3"/>
  <c r="B1692" i="3"/>
  <c r="U1691" i="3"/>
  <c r="K1691" i="3"/>
  <c r="E1691" i="3"/>
  <c r="B1691" i="3"/>
  <c r="U1690" i="3"/>
  <c r="K1690" i="3"/>
  <c r="E1690" i="3"/>
  <c r="B1690" i="3"/>
  <c r="U1689" i="3"/>
  <c r="K1689" i="3"/>
  <c r="E1689" i="3"/>
  <c r="B1689" i="3"/>
  <c r="U1688" i="3"/>
  <c r="K1688" i="3"/>
  <c r="E1688" i="3"/>
  <c r="B1688" i="3"/>
  <c r="U1687" i="3"/>
  <c r="K1687" i="3"/>
  <c r="E1687" i="3"/>
  <c r="B1687" i="3"/>
  <c r="U1686" i="3"/>
  <c r="K1686" i="3"/>
  <c r="E1686" i="3"/>
  <c r="B1686" i="3"/>
  <c r="U1685" i="3"/>
  <c r="K1685" i="3"/>
  <c r="E1685" i="3"/>
  <c r="B1685" i="3"/>
  <c r="U1684" i="3"/>
  <c r="K1684" i="3"/>
  <c r="E1684" i="3"/>
  <c r="B1684" i="3"/>
  <c r="U1683" i="3"/>
  <c r="K1683" i="3"/>
  <c r="E1683" i="3"/>
  <c r="B1683" i="3"/>
  <c r="U1682" i="3"/>
  <c r="K1682" i="3"/>
  <c r="E1682" i="3"/>
  <c r="B1682" i="3"/>
  <c r="U1681" i="3"/>
  <c r="K1681" i="3"/>
  <c r="E1681" i="3"/>
  <c r="B1681" i="3"/>
  <c r="U1680" i="3"/>
  <c r="K1680" i="3"/>
  <c r="E1680" i="3"/>
  <c r="B1680" i="3"/>
  <c r="U1679" i="3"/>
  <c r="K1679" i="3"/>
  <c r="E1679" i="3"/>
  <c r="B1679" i="3"/>
  <c r="U1678" i="3"/>
  <c r="K1678" i="3"/>
  <c r="E1678" i="3"/>
  <c r="B1678" i="3"/>
  <c r="U1677" i="3"/>
  <c r="K1677" i="3"/>
  <c r="E1677" i="3"/>
  <c r="B1677" i="3"/>
  <c r="U1676" i="3"/>
  <c r="K1676" i="3"/>
  <c r="E1676" i="3"/>
  <c r="B1676" i="3"/>
  <c r="U1675" i="3"/>
  <c r="K1675" i="3"/>
  <c r="E1675" i="3"/>
  <c r="B1675" i="3"/>
  <c r="U1674" i="3"/>
  <c r="K1674" i="3"/>
  <c r="E1674" i="3"/>
  <c r="B1674" i="3"/>
  <c r="U1673" i="3"/>
  <c r="K1673" i="3"/>
  <c r="E1673" i="3"/>
  <c r="B1673" i="3"/>
  <c r="U1672" i="3"/>
  <c r="K1672" i="3"/>
  <c r="E1672" i="3"/>
  <c r="B1672" i="3"/>
  <c r="U1671" i="3"/>
  <c r="K1671" i="3"/>
  <c r="E1671" i="3"/>
  <c r="B1671" i="3"/>
  <c r="U1670" i="3"/>
  <c r="K1670" i="3"/>
  <c r="E1670" i="3"/>
  <c r="B1670" i="3"/>
  <c r="U1669" i="3"/>
  <c r="K1669" i="3"/>
  <c r="E1669" i="3"/>
  <c r="B1669" i="3"/>
  <c r="U1668" i="3"/>
  <c r="K1668" i="3"/>
  <c r="E1668" i="3"/>
  <c r="B1668" i="3"/>
  <c r="U1667" i="3"/>
  <c r="K1667" i="3"/>
  <c r="E1667" i="3"/>
  <c r="B1667" i="3"/>
  <c r="U1666" i="3"/>
  <c r="K1666" i="3"/>
  <c r="E1666" i="3"/>
  <c r="B1666" i="3"/>
  <c r="U1665" i="3"/>
  <c r="K1665" i="3"/>
  <c r="E1665" i="3"/>
  <c r="B1665" i="3"/>
  <c r="U1664" i="3"/>
  <c r="K1664" i="3"/>
  <c r="E1664" i="3"/>
  <c r="B1664" i="3"/>
  <c r="U1663" i="3"/>
  <c r="K1663" i="3"/>
  <c r="E1663" i="3"/>
  <c r="B1663" i="3"/>
  <c r="U1662" i="3"/>
  <c r="K1662" i="3"/>
  <c r="E1662" i="3"/>
  <c r="B1662" i="3"/>
  <c r="U1661" i="3"/>
  <c r="K1661" i="3"/>
  <c r="E1661" i="3"/>
  <c r="B1661" i="3"/>
  <c r="U1660" i="3"/>
  <c r="K1660" i="3"/>
  <c r="E1660" i="3"/>
  <c r="B1660" i="3"/>
  <c r="U1659" i="3"/>
  <c r="K1659" i="3"/>
  <c r="E1659" i="3"/>
  <c r="B1659" i="3"/>
  <c r="U1658" i="3"/>
  <c r="K1658" i="3"/>
  <c r="E1658" i="3"/>
  <c r="B1658" i="3"/>
  <c r="U1657" i="3"/>
  <c r="K1657" i="3"/>
  <c r="E1657" i="3"/>
  <c r="B1657" i="3"/>
  <c r="U1656" i="3"/>
  <c r="K1656" i="3"/>
  <c r="E1656" i="3"/>
  <c r="B1656" i="3"/>
  <c r="U1655" i="3"/>
  <c r="K1655" i="3"/>
  <c r="E1655" i="3"/>
  <c r="B1655" i="3"/>
  <c r="U1654" i="3"/>
  <c r="K1654" i="3"/>
  <c r="E1654" i="3"/>
  <c r="B1654" i="3"/>
  <c r="U1653" i="3"/>
  <c r="K1653" i="3"/>
  <c r="E1653" i="3"/>
  <c r="B1653" i="3"/>
  <c r="U1652" i="3"/>
  <c r="K1652" i="3"/>
  <c r="E1652" i="3"/>
  <c r="B1652" i="3"/>
  <c r="U1651" i="3"/>
  <c r="K1651" i="3"/>
  <c r="E1651" i="3"/>
  <c r="B1651" i="3"/>
  <c r="U1650" i="3"/>
  <c r="K1650" i="3"/>
  <c r="E1650" i="3"/>
  <c r="B1650" i="3"/>
  <c r="U1649" i="3"/>
  <c r="K1649" i="3"/>
  <c r="E1649" i="3"/>
  <c r="B1649" i="3"/>
  <c r="U1648" i="3"/>
  <c r="K1648" i="3"/>
  <c r="E1648" i="3"/>
  <c r="B1648" i="3"/>
  <c r="U1647" i="3"/>
  <c r="K1647" i="3"/>
  <c r="E1647" i="3"/>
  <c r="B1647" i="3"/>
  <c r="U1646" i="3"/>
  <c r="K1646" i="3"/>
  <c r="E1646" i="3"/>
  <c r="B1646" i="3"/>
  <c r="U1645" i="3"/>
  <c r="K1645" i="3"/>
  <c r="E1645" i="3"/>
  <c r="B1645" i="3"/>
  <c r="U1644" i="3"/>
  <c r="K1644" i="3"/>
  <c r="E1644" i="3"/>
  <c r="B1644" i="3"/>
  <c r="U1643" i="3"/>
  <c r="K1643" i="3"/>
  <c r="E1643" i="3"/>
  <c r="B1643" i="3"/>
  <c r="U1642" i="3"/>
  <c r="K1642" i="3"/>
  <c r="E1642" i="3"/>
  <c r="B1642" i="3"/>
  <c r="U1641" i="3"/>
  <c r="K1641" i="3"/>
  <c r="E1641" i="3"/>
  <c r="B1641" i="3"/>
  <c r="U1640" i="3"/>
  <c r="K1640" i="3"/>
  <c r="E1640" i="3"/>
  <c r="B1640" i="3"/>
  <c r="U1639" i="3"/>
  <c r="K1639" i="3"/>
  <c r="E1639" i="3"/>
  <c r="B1639" i="3"/>
  <c r="U1638" i="3"/>
  <c r="K1638" i="3"/>
  <c r="E1638" i="3"/>
  <c r="B1638" i="3"/>
  <c r="U1637" i="3"/>
  <c r="K1637" i="3"/>
  <c r="E1637" i="3"/>
  <c r="B1637" i="3"/>
  <c r="U1636" i="3"/>
  <c r="K1636" i="3"/>
  <c r="E1636" i="3"/>
  <c r="B1636" i="3"/>
  <c r="U1635" i="3"/>
  <c r="K1635" i="3"/>
  <c r="E1635" i="3"/>
  <c r="B1635" i="3"/>
  <c r="U1634" i="3"/>
  <c r="K1634" i="3"/>
  <c r="E1634" i="3"/>
  <c r="B1634" i="3"/>
  <c r="U1633" i="3"/>
  <c r="K1633" i="3"/>
  <c r="E1633" i="3"/>
  <c r="B1633" i="3"/>
  <c r="U1632" i="3"/>
  <c r="K1632" i="3"/>
  <c r="E1632" i="3"/>
  <c r="B1632" i="3"/>
  <c r="U1631" i="3"/>
  <c r="K1631" i="3"/>
  <c r="E1631" i="3"/>
  <c r="B1631" i="3"/>
  <c r="U1630" i="3"/>
  <c r="K1630" i="3"/>
  <c r="E1630" i="3"/>
  <c r="B1630" i="3"/>
  <c r="U1629" i="3"/>
  <c r="K1629" i="3"/>
  <c r="E1629" i="3"/>
  <c r="B1629" i="3"/>
  <c r="U1628" i="3"/>
  <c r="K1628" i="3"/>
  <c r="E1628" i="3"/>
  <c r="B1628" i="3"/>
  <c r="U1627" i="3"/>
  <c r="K1627" i="3"/>
  <c r="E1627" i="3"/>
  <c r="B1627" i="3"/>
  <c r="U1626" i="3"/>
  <c r="K1626" i="3"/>
  <c r="E1626" i="3"/>
  <c r="B1626" i="3"/>
  <c r="U1625" i="3"/>
  <c r="K1625" i="3"/>
  <c r="E1625" i="3"/>
  <c r="B1625" i="3"/>
  <c r="U1624" i="3"/>
  <c r="K1624" i="3"/>
  <c r="E1624" i="3"/>
  <c r="B1624" i="3"/>
  <c r="U1623" i="3"/>
  <c r="K1623" i="3"/>
  <c r="E1623" i="3"/>
  <c r="B1623" i="3"/>
  <c r="U1622" i="3"/>
  <c r="K1622" i="3"/>
  <c r="E1622" i="3"/>
  <c r="B1622" i="3"/>
  <c r="U1621" i="3"/>
  <c r="K1621" i="3"/>
  <c r="E1621" i="3"/>
  <c r="B1621" i="3"/>
  <c r="U1620" i="3"/>
  <c r="K1620" i="3"/>
  <c r="E1620" i="3"/>
  <c r="B1620" i="3"/>
  <c r="U1619" i="3"/>
  <c r="K1619" i="3"/>
  <c r="E1619" i="3"/>
  <c r="B1619" i="3"/>
  <c r="U1618" i="3"/>
  <c r="K1618" i="3"/>
  <c r="E1618" i="3"/>
  <c r="B1618" i="3"/>
  <c r="U1617" i="3"/>
  <c r="K1617" i="3"/>
  <c r="E1617" i="3"/>
  <c r="B1617" i="3"/>
  <c r="U1616" i="3"/>
  <c r="K1616" i="3"/>
  <c r="E1616" i="3"/>
  <c r="B1616" i="3"/>
  <c r="U1615" i="3"/>
  <c r="K1615" i="3"/>
  <c r="E1615" i="3"/>
  <c r="B1615" i="3"/>
  <c r="U1614" i="3"/>
  <c r="K1614" i="3"/>
  <c r="E1614" i="3"/>
  <c r="B1614" i="3"/>
  <c r="U1613" i="3"/>
  <c r="K1613" i="3"/>
  <c r="E1613" i="3"/>
  <c r="B1613" i="3"/>
  <c r="U1612" i="3"/>
  <c r="K1612" i="3"/>
  <c r="E1612" i="3"/>
  <c r="B1612" i="3"/>
  <c r="U1611" i="3"/>
  <c r="K1611" i="3"/>
  <c r="E1611" i="3"/>
  <c r="B1611" i="3"/>
  <c r="U1610" i="3"/>
  <c r="K1610" i="3"/>
  <c r="E1610" i="3"/>
  <c r="B1610" i="3"/>
  <c r="U1609" i="3"/>
  <c r="K1609" i="3"/>
  <c r="E1609" i="3"/>
  <c r="B1609" i="3"/>
  <c r="U1608" i="3"/>
  <c r="K1608" i="3"/>
  <c r="E1608" i="3"/>
  <c r="B1608" i="3"/>
  <c r="U1607" i="3"/>
  <c r="K1607" i="3"/>
  <c r="E1607" i="3"/>
  <c r="B1607" i="3"/>
  <c r="U1606" i="3"/>
  <c r="K1606" i="3"/>
  <c r="E1606" i="3"/>
  <c r="B1606" i="3"/>
  <c r="U1605" i="3"/>
  <c r="K1605" i="3"/>
  <c r="E1605" i="3"/>
  <c r="B1605" i="3"/>
  <c r="U1604" i="3"/>
  <c r="K1604" i="3"/>
  <c r="E1604" i="3"/>
  <c r="B1604" i="3"/>
  <c r="U1603" i="3"/>
  <c r="K1603" i="3"/>
  <c r="E1603" i="3"/>
  <c r="B1603" i="3"/>
  <c r="U1602" i="3"/>
  <c r="K1602" i="3"/>
  <c r="E1602" i="3"/>
  <c r="B1602" i="3"/>
  <c r="U1601" i="3"/>
  <c r="K1601" i="3"/>
  <c r="E1601" i="3"/>
  <c r="B1601" i="3"/>
  <c r="U1600" i="3"/>
  <c r="K1600" i="3"/>
  <c r="E1600" i="3"/>
  <c r="B1600" i="3"/>
  <c r="U1599" i="3"/>
  <c r="K1599" i="3"/>
  <c r="E1599" i="3"/>
  <c r="B1599" i="3"/>
  <c r="U1598" i="3"/>
  <c r="K1598" i="3"/>
  <c r="E1598" i="3"/>
  <c r="B1598" i="3"/>
  <c r="U1597" i="3"/>
  <c r="K1597" i="3"/>
  <c r="E1597" i="3"/>
  <c r="B1597" i="3"/>
  <c r="U1596" i="3"/>
  <c r="K1596" i="3"/>
  <c r="E1596" i="3"/>
  <c r="B1596" i="3"/>
  <c r="U1595" i="3"/>
  <c r="K1595" i="3"/>
  <c r="E1595" i="3"/>
  <c r="B1595" i="3"/>
  <c r="U1594" i="3"/>
  <c r="K1594" i="3"/>
  <c r="E1594" i="3"/>
  <c r="B1594" i="3"/>
  <c r="U1593" i="3"/>
  <c r="K1593" i="3"/>
  <c r="E1593" i="3"/>
  <c r="B1593" i="3"/>
  <c r="U1592" i="3"/>
  <c r="K1592" i="3"/>
  <c r="E1592" i="3"/>
  <c r="B1592" i="3"/>
  <c r="U1591" i="3"/>
  <c r="K1591" i="3"/>
  <c r="E1591" i="3"/>
  <c r="B1591" i="3"/>
  <c r="U1590" i="3"/>
  <c r="K1590" i="3"/>
  <c r="E1590" i="3"/>
  <c r="B1590" i="3"/>
  <c r="U1589" i="3"/>
  <c r="K1589" i="3"/>
  <c r="E1589" i="3"/>
  <c r="B1589" i="3"/>
  <c r="U1588" i="3"/>
  <c r="K1588" i="3"/>
  <c r="E1588" i="3"/>
  <c r="B1588" i="3"/>
  <c r="U1587" i="3"/>
  <c r="K1587" i="3"/>
  <c r="E1587" i="3"/>
  <c r="B1587" i="3"/>
  <c r="U1586" i="3"/>
  <c r="K1586" i="3"/>
  <c r="E1586" i="3"/>
  <c r="B1586" i="3"/>
  <c r="U1585" i="3"/>
  <c r="K1585" i="3"/>
  <c r="E1585" i="3"/>
  <c r="B1585" i="3"/>
  <c r="U1584" i="3"/>
  <c r="K1584" i="3"/>
  <c r="E1584" i="3"/>
  <c r="B1584" i="3"/>
  <c r="U1583" i="3"/>
  <c r="K1583" i="3"/>
  <c r="E1583" i="3"/>
  <c r="B1583" i="3"/>
  <c r="U1582" i="3"/>
  <c r="K1582" i="3"/>
  <c r="E1582" i="3"/>
  <c r="B1582" i="3"/>
  <c r="U1581" i="3"/>
  <c r="K1581" i="3"/>
  <c r="E1581" i="3"/>
  <c r="B1581" i="3"/>
  <c r="U1580" i="3"/>
  <c r="K1580" i="3"/>
  <c r="E1580" i="3"/>
  <c r="B1580" i="3"/>
  <c r="U1579" i="3"/>
  <c r="K1579" i="3"/>
  <c r="E1579" i="3"/>
  <c r="B1579" i="3"/>
  <c r="U1578" i="3"/>
  <c r="K1578" i="3"/>
  <c r="E1578" i="3"/>
  <c r="B1578" i="3"/>
  <c r="U1577" i="3"/>
  <c r="K1577" i="3"/>
  <c r="E1577" i="3"/>
  <c r="B1577" i="3"/>
  <c r="U1576" i="3"/>
  <c r="K1576" i="3"/>
  <c r="E1576" i="3"/>
  <c r="B1576" i="3"/>
  <c r="U1575" i="3"/>
  <c r="K1575" i="3"/>
  <c r="E1575" i="3"/>
  <c r="B1575" i="3"/>
  <c r="U1574" i="3"/>
  <c r="K1574" i="3"/>
  <c r="E1574" i="3"/>
  <c r="B1574" i="3"/>
  <c r="U1573" i="3"/>
  <c r="K1573" i="3"/>
  <c r="E1573" i="3"/>
  <c r="B1573" i="3"/>
  <c r="U1572" i="3"/>
  <c r="K1572" i="3"/>
  <c r="E1572" i="3"/>
  <c r="B1572" i="3"/>
  <c r="U1571" i="3"/>
  <c r="K1571" i="3"/>
  <c r="E1571" i="3"/>
  <c r="B1571" i="3"/>
  <c r="U1570" i="3"/>
  <c r="K1570" i="3"/>
  <c r="E1570" i="3"/>
  <c r="B1570" i="3"/>
  <c r="U1569" i="3"/>
  <c r="K1569" i="3"/>
  <c r="E1569" i="3"/>
  <c r="B1569" i="3"/>
  <c r="U1568" i="3"/>
  <c r="K1568" i="3"/>
  <c r="E1568" i="3"/>
  <c r="B1568" i="3"/>
  <c r="U1567" i="3"/>
  <c r="K1567" i="3"/>
  <c r="E1567" i="3"/>
  <c r="B1567" i="3"/>
  <c r="U1566" i="3"/>
  <c r="K1566" i="3"/>
  <c r="E1566" i="3"/>
  <c r="B1566" i="3"/>
  <c r="U1565" i="3"/>
  <c r="K1565" i="3"/>
  <c r="E1565" i="3"/>
  <c r="B1565" i="3"/>
  <c r="U1564" i="3"/>
  <c r="K1564" i="3"/>
  <c r="E1564" i="3"/>
  <c r="B1564" i="3"/>
  <c r="U1563" i="3"/>
  <c r="K1563" i="3"/>
  <c r="E1563" i="3"/>
  <c r="B1563" i="3"/>
  <c r="U1562" i="3"/>
  <c r="K1562" i="3"/>
  <c r="E1562" i="3"/>
  <c r="B1562" i="3"/>
  <c r="U1561" i="3"/>
  <c r="K1561" i="3"/>
  <c r="E1561" i="3"/>
  <c r="B1561" i="3"/>
  <c r="U1560" i="3"/>
  <c r="K1560" i="3"/>
  <c r="E1560" i="3"/>
  <c r="B1560" i="3"/>
  <c r="U1559" i="3"/>
  <c r="K1559" i="3"/>
  <c r="E1559" i="3"/>
  <c r="B1559" i="3"/>
  <c r="U1558" i="3"/>
  <c r="K1558" i="3"/>
  <c r="E1558" i="3"/>
  <c r="B1558" i="3"/>
  <c r="U1557" i="3"/>
  <c r="K1557" i="3"/>
  <c r="E1557" i="3"/>
  <c r="B1557" i="3"/>
  <c r="U1556" i="3"/>
  <c r="K1556" i="3"/>
  <c r="E1556" i="3"/>
  <c r="B1556" i="3"/>
  <c r="U1555" i="3"/>
  <c r="K1555" i="3"/>
  <c r="E1555" i="3"/>
  <c r="B1555" i="3"/>
  <c r="K1554" i="3"/>
  <c r="E1554" i="3"/>
  <c r="B1554" i="3"/>
  <c r="U1553" i="3"/>
  <c r="K1553" i="3"/>
  <c r="E1553" i="3"/>
  <c r="B1553" i="3"/>
  <c r="U1552" i="3"/>
  <c r="K1552" i="3"/>
  <c r="E1552" i="3"/>
  <c r="B1552" i="3"/>
  <c r="U1551" i="3"/>
  <c r="K1551" i="3"/>
  <c r="E1551" i="3"/>
  <c r="B1551" i="3"/>
  <c r="U1550" i="3"/>
  <c r="K1550" i="3"/>
  <c r="E1550" i="3"/>
  <c r="B1550" i="3"/>
  <c r="U1549" i="3"/>
  <c r="K1549" i="3"/>
  <c r="E1549" i="3"/>
  <c r="B1549" i="3"/>
  <c r="U1548" i="3"/>
  <c r="K1548" i="3"/>
  <c r="E1548" i="3"/>
  <c r="B1548" i="3"/>
  <c r="U1547" i="3"/>
  <c r="K1547" i="3"/>
  <c r="E1547" i="3"/>
  <c r="B1547" i="3"/>
  <c r="U1546" i="3"/>
  <c r="K1546" i="3"/>
  <c r="E1546" i="3"/>
  <c r="B1546" i="3"/>
  <c r="U1545" i="3"/>
  <c r="K1545" i="3"/>
  <c r="E1545" i="3"/>
  <c r="B1545" i="3"/>
  <c r="U1544" i="3"/>
  <c r="K1544" i="3"/>
  <c r="E1544" i="3"/>
  <c r="B1544" i="3"/>
  <c r="U1543" i="3"/>
  <c r="K1543" i="3"/>
  <c r="E1543" i="3"/>
  <c r="B1543" i="3"/>
  <c r="U1542" i="3"/>
  <c r="K1542" i="3"/>
  <c r="E1542" i="3"/>
  <c r="B1542" i="3"/>
  <c r="U1541" i="3"/>
  <c r="K1541" i="3"/>
  <c r="E1541" i="3"/>
  <c r="B1541" i="3"/>
  <c r="U1540" i="3"/>
  <c r="K1540" i="3"/>
  <c r="E1540" i="3"/>
  <c r="B1540" i="3"/>
  <c r="U1539" i="3"/>
  <c r="K1539" i="3"/>
  <c r="E1539" i="3"/>
  <c r="B1539" i="3"/>
  <c r="U1538" i="3"/>
  <c r="K1538" i="3"/>
  <c r="E1538" i="3"/>
  <c r="B1538" i="3"/>
  <c r="U1537" i="3"/>
  <c r="K1537" i="3"/>
  <c r="E1537" i="3"/>
  <c r="B1537" i="3"/>
  <c r="U1536" i="3"/>
  <c r="K1536" i="3"/>
  <c r="E1536" i="3"/>
  <c r="B1536" i="3"/>
  <c r="U1535" i="3"/>
  <c r="K1535" i="3"/>
  <c r="E1535" i="3"/>
  <c r="B1535" i="3"/>
  <c r="U1534" i="3"/>
  <c r="K1534" i="3"/>
  <c r="E1534" i="3"/>
  <c r="B1534" i="3"/>
  <c r="U1533" i="3"/>
  <c r="K1533" i="3"/>
  <c r="E1533" i="3"/>
  <c r="B1533" i="3"/>
  <c r="U1532" i="3"/>
  <c r="K1532" i="3"/>
  <c r="E1532" i="3"/>
  <c r="B1532" i="3"/>
  <c r="U1531" i="3"/>
  <c r="K1531" i="3"/>
  <c r="E1531" i="3"/>
  <c r="B1531" i="3"/>
  <c r="U1530" i="3"/>
  <c r="K1530" i="3"/>
  <c r="E1530" i="3"/>
  <c r="B1530" i="3"/>
  <c r="U1529" i="3"/>
  <c r="K1529" i="3"/>
  <c r="E1529" i="3"/>
  <c r="B1529" i="3"/>
  <c r="U1528" i="3"/>
  <c r="K1528" i="3"/>
  <c r="E1528" i="3"/>
  <c r="B1528" i="3"/>
  <c r="U1527" i="3"/>
  <c r="K1527" i="3"/>
  <c r="E1527" i="3"/>
  <c r="B1527" i="3"/>
  <c r="U1526" i="3"/>
  <c r="K1526" i="3"/>
  <c r="E1526" i="3"/>
  <c r="B1526" i="3"/>
  <c r="U1525" i="3"/>
  <c r="K1525" i="3"/>
  <c r="E1525" i="3"/>
  <c r="B1525" i="3"/>
  <c r="U1524" i="3"/>
  <c r="K1524" i="3"/>
  <c r="E1524" i="3"/>
  <c r="B1524" i="3"/>
  <c r="U1523" i="3"/>
  <c r="K1523" i="3"/>
  <c r="E1523" i="3"/>
  <c r="B1523" i="3"/>
  <c r="U1522" i="3"/>
  <c r="K1522" i="3"/>
  <c r="E1522" i="3"/>
  <c r="B1522" i="3"/>
  <c r="U1521" i="3"/>
  <c r="K1521" i="3"/>
  <c r="E1521" i="3"/>
  <c r="B1521" i="3"/>
  <c r="U1520" i="3"/>
  <c r="K1520" i="3"/>
  <c r="E1520" i="3"/>
  <c r="B1520" i="3"/>
  <c r="U1519" i="3"/>
  <c r="K1519" i="3"/>
  <c r="E1519" i="3"/>
  <c r="B1519" i="3"/>
  <c r="U1518" i="3"/>
  <c r="K1518" i="3"/>
  <c r="E1518" i="3"/>
  <c r="B1518" i="3"/>
  <c r="U1517" i="3"/>
  <c r="K1517" i="3"/>
  <c r="E1517" i="3"/>
  <c r="B1517" i="3"/>
  <c r="U1516" i="3"/>
  <c r="K1516" i="3"/>
  <c r="E1516" i="3"/>
  <c r="B1516" i="3"/>
  <c r="U1515" i="3"/>
  <c r="K1515" i="3"/>
  <c r="E1515" i="3"/>
  <c r="B1515" i="3"/>
  <c r="U1514" i="3"/>
  <c r="K1514" i="3"/>
  <c r="E1514" i="3"/>
  <c r="B1514" i="3"/>
  <c r="U1513" i="3"/>
  <c r="K1513" i="3"/>
  <c r="E1513" i="3"/>
  <c r="B1513" i="3"/>
  <c r="U1512" i="3"/>
  <c r="K1512" i="3"/>
  <c r="E1512" i="3"/>
  <c r="B1512" i="3"/>
  <c r="U1511" i="3"/>
  <c r="K1511" i="3"/>
  <c r="E1511" i="3"/>
  <c r="B1511" i="3"/>
  <c r="U1510" i="3"/>
  <c r="K1510" i="3"/>
  <c r="E1510" i="3"/>
  <c r="B1510" i="3"/>
  <c r="U1509" i="3"/>
  <c r="K1509" i="3"/>
  <c r="E1509" i="3"/>
  <c r="B1509" i="3"/>
  <c r="U1508" i="3"/>
  <c r="K1508" i="3"/>
  <c r="E1508" i="3"/>
  <c r="B1508" i="3"/>
  <c r="U1507" i="3"/>
  <c r="K1507" i="3"/>
  <c r="E1507" i="3"/>
  <c r="B1507" i="3"/>
  <c r="U1506" i="3"/>
  <c r="K1506" i="3"/>
  <c r="E1506" i="3"/>
  <c r="B1506" i="3"/>
  <c r="U1505" i="3"/>
  <c r="K1505" i="3"/>
  <c r="E1505" i="3"/>
  <c r="B1505" i="3"/>
  <c r="U1504" i="3"/>
  <c r="K1504" i="3"/>
  <c r="E1504" i="3"/>
  <c r="B1504" i="3"/>
  <c r="U1503" i="3"/>
  <c r="K1503" i="3"/>
  <c r="E1503" i="3"/>
  <c r="B1503" i="3"/>
  <c r="U1502" i="3"/>
  <c r="K1502" i="3"/>
  <c r="E1502" i="3"/>
  <c r="B1502" i="3"/>
  <c r="U1501" i="3"/>
  <c r="K1501" i="3"/>
  <c r="E1501" i="3"/>
  <c r="B1501" i="3"/>
  <c r="U1500" i="3"/>
  <c r="K1500" i="3"/>
  <c r="E1500" i="3"/>
  <c r="B1500" i="3"/>
  <c r="U1499" i="3"/>
  <c r="K1499" i="3"/>
  <c r="E1499" i="3"/>
  <c r="B1499" i="3"/>
  <c r="U1498" i="3"/>
  <c r="K1498" i="3"/>
  <c r="E1498" i="3"/>
  <c r="B1498" i="3"/>
  <c r="U1497" i="3"/>
  <c r="K1497" i="3"/>
  <c r="E1497" i="3"/>
  <c r="B1497" i="3"/>
  <c r="U1496" i="3"/>
  <c r="K1496" i="3"/>
  <c r="E1496" i="3"/>
  <c r="B1496" i="3"/>
  <c r="U1495" i="3"/>
  <c r="K1495" i="3"/>
  <c r="E1495" i="3"/>
  <c r="B1495" i="3"/>
  <c r="U1494" i="3"/>
  <c r="K1494" i="3"/>
  <c r="E1494" i="3"/>
  <c r="B1494" i="3"/>
  <c r="U1493" i="3"/>
  <c r="K1493" i="3"/>
  <c r="E1493" i="3"/>
  <c r="B1493" i="3"/>
  <c r="U1492" i="3"/>
  <c r="K1492" i="3"/>
  <c r="E1492" i="3"/>
  <c r="B1492" i="3"/>
  <c r="U1491" i="3"/>
  <c r="K1491" i="3"/>
  <c r="E1491" i="3"/>
  <c r="B1491" i="3"/>
  <c r="U1490" i="3"/>
  <c r="K1490" i="3"/>
  <c r="E1490" i="3"/>
  <c r="B1490" i="3"/>
  <c r="U1489" i="3"/>
  <c r="K1489" i="3"/>
  <c r="E1489" i="3"/>
  <c r="B1489" i="3"/>
  <c r="U1488" i="3"/>
  <c r="K1488" i="3"/>
  <c r="E1488" i="3"/>
  <c r="B1488" i="3"/>
  <c r="U1487" i="3"/>
  <c r="K1487" i="3"/>
  <c r="E1487" i="3"/>
  <c r="B1487" i="3"/>
  <c r="U1486" i="3"/>
  <c r="K1486" i="3"/>
  <c r="E1486" i="3"/>
  <c r="B1486" i="3"/>
  <c r="U1485" i="3"/>
  <c r="K1485" i="3"/>
  <c r="E1485" i="3"/>
  <c r="B1485" i="3"/>
  <c r="U1484" i="3"/>
  <c r="K1484" i="3"/>
  <c r="E1484" i="3"/>
  <c r="B1484" i="3"/>
  <c r="U1483" i="3"/>
  <c r="K1483" i="3"/>
  <c r="E1483" i="3"/>
  <c r="B1483" i="3"/>
  <c r="U1482" i="3"/>
  <c r="K1482" i="3"/>
  <c r="E1482" i="3"/>
  <c r="B1482" i="3"/>
  <c r="U1481" i="3"/>
  <c r="K1481" i="3"/>
  <c r="E1481" i="3"/>
  <c r="B1481" i="3"/>
  <c r="U1480" i="3"/>
  <c r="K1480" i="3"/>
  <c r="E1480" i="3"/>
  <c r="B1480" i="3"/>
  <c r="U1479" i="3"/>
  <c r="K1479" i="3"/>
  <c r="E1479" i="3"/>
  <c r="B1479" i="3"/>
  <c r="U1478" i="3"/>
  <c r="K1478" i="3"/>
  <c r="E1478" i="3"/>
  <c r="B1478" i="3"/>
  <c r="U1477" i="3"/>
  <c r="K1477" i="3"/>
  <c r="E1477" i="3"/>
  <c r="B1477" i="3"/>
  <c r="U1476" i="3"/>
  <c r="K1476" i="3"/>
  <c r="E1476" i="3"/>
  <c r="B1476" i="3"/>
  <c r="U1475" i="3"/>
  <c r="K1475" i="3"/>
  <c r="E1475" i="3"/>
  <c r="B1475" i="3"/>
  <c r="U1474" i="3"/>
  <c r="K1474" i="3"/>
  <c r="E1474" i="3"/>
  <c r="B1474" i="3"/>
  <c r="U1473" i="3"/>
  <c r="K1473" i="3"/>
  <c r="E1473" i="3"/>
  <c r="B1473" i="3"/>
  <c r="U1472" i="3"/>
  <c r="K1472" i="3"/>
  <c r="E1472" i="3"/>
  <c r="B1472" i="3"/>
  <c r="U1471" i="3"/>
  <c r="K1471" i="3"/>
  <c r="E1471" i="3"/>
  <c r="B1471" i="3"/>
  <c r="U1470" i="3"/>
  <c r="K1470" i="3"/>
  <c r="E1470" i="3"/>
  <c r="B1470" i="3"/>
  <c r="U1469" i="3"/>
  <c r="K1469" i="3"/>
  <c r="E1469" i="3"/>
  <c r="B1469" i="3"/>
  <c r="U1468" i="3"/>
  <c r="K1468" i="3"/>
  <c r="E1468" i="3"/>
  <c r="B1468" i="3"/>
  <c r="U1467" i="3"/>
  <c r="K1467" i="3"/>
  <c r="E1467" i="3"/>
  <c r="B1467" i="3"/>
  <c r="U1466" i="3"/>
  <c r="K1466" i="3"/>
  <c r="E1466" i="3"/>
  <c r="B1466" i="3"/>
  <c r="U1465" i="3"/>
  <c r="K1465" i="3"/>
  <c r="E1465" i="3"/>
  <c r="B1465" i="3"/>
  <c r="U1464" i="3"/>
  <c r="K1464" i="3"/>
  <c r="E1464" i="3"/>
  <c r="B1464" i="3"/>
  <c r="U1463" i="3"/>
  <c r="K1463" i="3"/>
  <c r="E1463" i="3"/>
  <c r="B1463" i="3"/>
  <c r="U1462" i="3"/>
  <c r="K1462" i="3"/>
  <c r="E1462" i="3"/>
  <c r="B1462" i="3"/>
  <c r="U1461" i="3"/>
  <c r="K1461" i="3"/>
  <c r="E1461" i="3"/>
  <c r="B1461" i="3"/>
  <c r="U1460" i="3"/>
  <c r="K1460" i="3"/>
  <c r="E1460" i="3"/>
  <c r="B1460" i="3"/>
  <c r="U1459" i="3"/>
  <c r="K1459" i="3"/>
  <c r="E1459" i="3"/>
  <c r="B1459" i="3"/>
  <c r="U1458" i="3"/>
  <c r="K1458" i="3"/>
  <c r="E1458" i="3"/>
  <c r="B1458" i="3"/>
  <c r="U1457" i="3"/>
  <c r="K1457" i="3"/>
  <c r="E1457" i="3"/>
  <c r="B1457" i="3"/>
  <c r="U1456" i="3"/>
  <c r="K1456" i="3"/>
  <c r="E1456" i="3"/>
  <c r="B1456" i="3"/>
  <c r="U1455" i="3"/>
  <c r="K1455" i="3"/>
  <c r="E1455" i="3"/>
  <c r="B1455" i="3"/>
  <c r="U1454" i="3"/>
  <c r="K1454" i="3"/>
  <c r="E1454" i="3"/>
  <c r="B1454" i="3"/>
  <c r="U1453" i="3"/>
  <c r="K1453" i="3"/>
  <c r="E1453" i="3"/>
  <c r="B1453" i="3"/>
  <c r="U1452" i="3"/>
  <c r="K1452" i="3"/>
  <c r="E1452" i="3"/>
  <c r="B1452" i="3"/>
  <c r="U1451" i="3"/>
  <c r="K1451" i="3"/>
  <c r="E1451" i="3"/>
  <c r="B1451" i="3"/>
  <c r="U1450" i="3"/>
  <c r="K1450" i="3"/>
  <c r="E1450" i="3"/>
  <c r="B1450" i="3"/>
  <c r="U1449" i="3"/>
  <c r="K1449" i="3"/>
  <c r="E1449" i="3"/>
  <c r="B1449" i="3"/>
  <c r="U1448" i="3"/>
  <c r="K1448" i="3"/>
  <c r="E1448" i="3"/>
  <c r="B1448" i="3"/>
  <c r="U1447" i="3"/>
  <c r="K1447" i="3"/>
  <c r="E1447" i="3"/>
  <c r="B1447" i="3"/>
  <c r="U1446" i="3"/>
  <c r="K1446" i="3"/>
  <c r="E1446" i="3"/>
  <c r="B1446" i="3"/>
  <c r="U1445" i="3"/>
  <c r="K1445" i="3"/>
  <c r="E1445" i="3"/>
  <c r="B1445" i="3"/>
  <c r="U1444" i="3"/>
  <c r="K1444" i="3"/>
  <c r="E1444" i="3"/>
  <c r="B1444" i="3"/>
  <c r="U1443" i="3"/>
  <c r="K1443" i="3"/>
  <c r="E1443" i="3"/>
  <c r="B1443" i="3"/>
  <c r="U1442" i="3"/>
  <c r="K1442" i="3"/>
  <c r="E1442" i="3"/>
  <c r="B1442" i="3"/>
  <c r="U1441" i="3"/>
  <c r="K1441" i="3"/>
  <c r="E1441" i="3"/>
  <c r="B1441" i="3"/>
  <c r="U1440" i="3"/>
  <c r="K1440" i="3"/>
  <c r="E1440" i="3"/>
  <c r="B1440" i="3"/>
  <c r="U1439" i="3"/>
  <c r="K1439" i="3"/>
  <c r="E1439" i="3"/>
  <c r="B1439" i="3"/>
  <c r="U1438" i="3"/>
  <c r="K1438" i="3"/>
  <c r="E1438" i="3"/>
  <c r="B1438" i="3"/>
  <c r="U1437" i="3"/>
  <c r="K1437" i="3"/>
  <c r="E1437" i="3"/>
  <c r="B1437" i="3"/>
  <c r="U1436" i="3"/>
  <c r="K1436" i="3"/>
  <c r="E1436" i="3"/>
  <c r="B1436" i="3"/>
  <c r="U1435" i="3"/>
  <c r="K1435" i="3"/>
  <c r="E1435" i="3"/>
  <c r="B1435" i="3"/>
  <c r="U1434" i="3"/>
  <c r="K1434" i="3"/>
  <c r="E1434" i="3"/>
  <c r="B1434" i="3"/>
  <c r="U1433" i="3"/>
  <c r="K1433" i="3"/>
  <c r="E1433" i="3"/>
  <c r="B1433" i="3"/>
  <c r="U1432" i="3"/>
  <c r="K1432" i="3"/>
  <c r="E1432" i="3"/>
  <c r="B1432" i="3"/>
  <c r="U1431" i="3"/>
  <c r="K1431" i="3"/>
  <c r="E1431" i="3"/>
  <c r="B1431" i="3"/>
  <c r="U1430" i="3"/>
  <c r="K1430" i="3"/>
  <c r="E1430" i="3"/>
  <c r="B1430" i="3"/>
  <c r="U1429" i="3"/>
  <c r="K1429" i="3"/>
  <c r="E1429" i="3"/>
  <c r="B1429" i="3"/>
  <c r="U1428" i="3"/>
  <c r="K1428" i="3"/>
  <c r="E1428" i="3"/>
  <c r="B1428" i="3"/>
  <c r="K1427" i="3"/>
  <c r="E1427" i="3"/>
  <c r="B1427" i="3"/>
  <c r="U1426" i="3"/>
  <c r="K1426" i="3"/>
  <c r="E1426" i="3"/>
  <c r="B1426" i="3"/>
  <c r="U1425" i="3"/>
  <c r="K1425" i="3"/>
  <c r="E1425" i="3"/>
  <c r="B1425" i="3"/>
  <c r="U1424" i="3"/>
  <c r="K1424" i="3"/>
  <c r="E1424" i="3"/>
  <c r="B1424" i="3"/>
  <c r="U1423" i="3"/>
  <c r="K1423" i="3"/>
  <c r="E1423" i="3"/>
  <c r="B1423" i="3"/>
  <c r="U1422" i="3"/>
  <c r="K1422" i="3"/>
  <c r="E1422" i="3"/>
  <c r="B1422" i="3"/>
  <c r="U1421" i="3"/>
  <c r="K1421" i="3"/>
  <c r="E1421" i="3"/>
  <c r="B1421" i="3"/>
  <c r="U1420" i="3"/>
  <c r="K1420" i="3"/>
  <c r="E1420" i="3"/>
  <c r="B1420" i="3"/>
  <c r="U1419" i="3"/>
  <c r="K1419" i="3"/>
  <c r="E1419" i="3"/>
  <c r="B1419" i="3"/>
  <c r="U1418" i="3"/>
  <c r="K1418" i="3"/>
  <c r="E1418" i="3"/>
  <c r="B1418" i="3"/>
  <c r="U1417" i="3"/>
  <c r="K1417" i="3"/>
  <c r="E1417" i="3"/>
  <c r="B1417" i="3"/>
  <c r="U1416" i="3"/>
  <c r="K1416" i="3"/>
  <c r="E1416" i="3"/>
  <c r="B1416" i="3"/>
  <c r="U1415" i="3"/>
  <c r="K1415" i="3"/>
  <c r="E1415" i="3"/>
  <c r="B1415" i="3"/>
  <c r="U1414" i="3"/>
  <c r="K1414" i="3"/>
  <c r="E1414" i="3"/>
  <c r="B1414" i="3"/>
  <c r="U1413" i="3"/>
  <c r="K1413" i="3"/>
  <c r="E1413" i="3"/>
  <c r="B1413" i="3"/>
  <c r="U1412" i="3"/>
  <c r="K1412" i="3"/>
  <c r="E1412" i="3"/>
  <c r="B1412" i="3"/>
  <c r="U1411" i="3"/>
  <c r="K1411" i="3"/>
  <c r="E1411" i="3"/>
  <c r="B1411" i="3"/>
  <c r="U1410" i="3"/>
  <c r="K1410" i="3"/>
  <c r="E1410" i="3"/>
  <c r="B1410" i="3"/>
  <c r="U1409" i="3"/>
  <c r="K1409" i="3"/>
  <c r="E1409" i="3"/>
  <c r="B1409" i="3"/>
  <c r="U1408" i="3"/>
  <c r="K1408" i="3"/>
  <c r="E1408" i="3"/>
  <c r="B1408" i="3"/>
  <c r="U1407" i="3"/>
  <c r="K1407" i="3"/>
  <c r="E1407" i="3"/>
  <c r="B1407" i="3"/>
  <c r="U1406" i="3"/>
  <c r="K1406" i="3"/>
  <c r="E1406" i="3"/>
  <c r="B1406" i="3"/>
  <c r="U1405" i="3"/>
  <c r="K1405" i="3"/>
  <c r="E1405" i="3"/>
  <c r="B1405" i="3"/>
  <c r="U1404" i="3"/>
  <c r="K1404" i="3"/>
  <c r="E1404" i="3"/>
  <c r="B1404" i="3"/>
  <c r="U1403" i="3"/>
  <c r="K1403" i="3"/>
  <c r="E1403" i="3"/>
  <c r="B1403" i="3"/>
  <c r="U1402" i="3"/>
  <c r="K1402" i="3"/>
  <c r="E1402" i="3"/>
  <c r="B1402" i="3"/>
  <c r="U1401" i="3"/>
  <c r="K1401" i="3"/>
  <c r="E1401" i="3"/>
  <c r="B1401" i="3"/>
  <c r="U1400" i="3"/>
  <c r="K1400" i="3"/>
  <c r="E1400" i="3"/>
  <c r="B1400" i="3"/>
  <c r="U1399" i="3"/>
  <c r="K1399" i="3"/>
  <c r="E1399" i="3"/>
  <c r="B1399" i="3"/>
  <c r="U1398" i="3"/>
  <c r="K1398" i="3"/>
  <c r="E1398" i="3"/>
  <c r="B1398" i="3"/>
  <c r="U1397" i="3"/>
  <c r="K1397" i="3"/>
  <c r="E1397" i="3"/>
  <c r="B1397" i="3"/>
  <c r="U1396" i="3"/>
  <c r="K1396" i="3"/>
  <c r="E1396" i="3"/>
  <c r="B1396" i="3"/>
  <c r="U1395" i="3"/>
  <c r="K1395" i="3"/>
  <c r="E1395" i="3"/>
  <c r="B1395" i="3"/>
  <c r="U1394" i="3"/>
  <c r="K1394" i="3"/>
  <c r="E1394" i="3"/>
  <c r="B1394" i="3"/>
  <c r="U1393" i="3"/>
  <c r="K1393" i="3"/>
  <c r="E1393" i="3"/>
  <c r="B1393" i="3"/>
  <c r="U1392" i="3"/>
  <c r="K1392" i="3"/>
  <c r="E1392" i="3"/>
  <c r="B1392" i="3"/>
  <c r="U1391" i="3"/>
  <c r="K1391" i="3"/>
  <c r="E1391" i="3"/>
  <c r="B1391" i="3"/>
  <c r="U1390" i="3"/>
  <c r="K1390" i="3"/>
  <c r="E1390" i="3"/>
  <c r="B1390" i="3"/>
  <c r="U1389" i="3"/>
  <c r="K1389" i="3"/>
  <c r="E1389" i="3"/>
  <c r="B1389" i="3"/>
  <c r="U1388" i="3"/>
  <c r="K1388" i="3"/>
  <c r="E1388" i="3"/>
  <c r="B1388" i="3"/>
  <c r="U1387" i="3"/>
  <c r="K1387" i="3"/>
  <c r="E1387" i="3"/>
  <c r="B1387" i="3"/>
  <c r="U1386" i="3"/>
  <c r="K1386" i="3"/>
  <c r="E1386" i="3"/>
  <c r="B1386" i="3"/>
  <c r="U1385" i="3"/>
  <c r="K1385" i="3"/>
  <c r="E1385" i="3"/>
  <c r="B1385" i="3"/>
  <c r="U1384" i="3"/>
  <c r="K1384" i="3"/>
  <c r="E1384" i="3"/>
  <c r="B1384" i="3"/>
  <c r="U1383" i="3"/>
  <c r="K1383" i="3"/>
  <c r="E1383" i="3"/>
  <c r="B1383" i="3"/>
  <c r="U1382" i="3"/>
  <c r="K1382" i="3"/>
  <c r="E1382" i="3"/>
  <c r="B1382" i="3"/>
  <c r="U1381" i="3"/>
  <c r="K1381" i="3"/>
  <c r="E1381" i="3"/>
  <c r="B1381" i="3"/>
  <c r="U1380" i="3"/>
  <c r="K1380" i="3"/>
  <c r="E1380" i="3"/>
  <c r="B1380" i="3"/>
  <c r="U1379" i="3"/>
  <c r="K1379" i="3"/>
  <c r="E1379" i="3"/>
  <c r="B1379" i="3"/>
  <c r="U1378" i="3"/>
  <c r="K1378" i="3"/>
  <c r="E1378" i="3"/>
  <c r="B1378" i="3"/>
  <c r="U1377" i="3"/>
  <c r="K1377" i="3"/>
  <c r="E1377" i="3"/>
  <c r="B1377" i="3"/>
  <c r="U1376" i="3"/>
  <c r="K1376" i="3"/>
  <c r="E1376" i="3"/>
  <c r="B1376" i="3"/>
  <c r="U1375" i="3"/>
  <c r="K1375" i="3"/>
  <c r="E1375" i="3"/>
  <c r="B1375" i="3"/>
  <c r="U1374" i="3"/>
  <c r="K1374" i="3"/>
  <c r="E1374" i="3"/>
  <c r="B1374" i="3"/>
  <c r="U1373" i="3"/>
  <c r="K1373" i="3"/>
  <c r="E1373" i="3"/>
  <c r="B1373" i="3"/>
  <c r="U1372" i="3"/>
  <c r="K1372" i="3"/>
  <c r="E1372" i="3"/>
  <c r="B1372" i="3"/>
  <c r="U1371" i="3"/>
  <c r="K1371" i="3"/>
  <c r="E1371" i="3"/>
  <c r="B1371" i="3"/>
  <c r="U1370" i="3"/>
  <c r="K1370" i="3"/>
  <c r="E1370" i="3"/>
  <c r="B1370" i="3"/>
  <c r="U1369" i="3"/>
  <c r="K1369" i="3"/>
  <c r="E1369" i="3"/>
  <c r="B1369" i="3"/>
  <c r="U1368" i="3"/>
  <c r="K1368" i="3"/>
  <c r="E1368" i="3"/>
  <c r="B1368" i="3"/>
  <c r="U1367" i="3"/>
  <c r="K1367" i="3"/>
  <c r="E1367" i="3"/>
  <c r="B1367" i="3"/>
  <c r="U1366" i="3"/>
  <c r="K1366" i="3"/>
  <c r="E1366" i="3"/>
  <c r="B1366" i="3"/>
  <c r="U1365" i="3"/>
  <c r="K1365" i="3"/>
  <c r="E1365" i="3"/>
  <c r="B1365" i="3"/>
  <c r="U1364" i="3"/>
  <c r="K1364" i="3"/>
  <c r="E1364" i="3"/>
  <c r="B1364" i="3"/>
  <c r="U1363" i="3"/>
  <c r="K1363" i="3"/>
  <c r="E1363" i="3"/>
  <c r="B1363" i="3"/>
  <c r="U1362" i="3"/>
  <c r="K1362" i="3"/>
  <c r="E1362" i="3"/>
  <c r="B1362" i="3"/>
  <c r="U1361" i="3"/>
  <c r="K1361" i="3"/>
  <c r="E1361" i="3"/>
  <c r="B1361" i="3"/>
  <c r="U1360" i="3"/>
  <c r="K1360" i="3"/>
  <c r="E1360" i="3"/>
  <c r="B1360" i="3"/>
  <c r="U1359" i="3"/>
  <c r="K1359" i="3"/>
  <c r="E1359" i="3"/>
  <c r="B1359" i="3"/>
  <c r="U1358" i="3"/>
  <c r="K1358" i="3"/>
  <c r="E1358" i="3"/>
  <c r="B1358" i="3"/>
  <c r="U1357" i="3"/>
  <c r="K1357" i="3"/>
  <c r="E1357" i="3"/>
  <c r="B1357" i="3"/>
  <c r="U1356" i="3"/>
  <c r="K1356" i="3"/>
  <c r="E1356" i="3"/>
  <c r="B1356" i="3"/>
  <c r="U1355" i="3"/>
  <c r="K1355" i="3"/>
  <c r="E1355" i="3"/>
  <c r="B1355" i="3"/>
  <c r="U1354" i="3"/>
  <c r="K1354" i="3"/>
  <c r="E1354" i="3"/>
  <c r="B1354" i="3"/>
  <c r="U1353" i="3"/>
  <c r="K1353" i="3"/>
  <c r="E1353" i="3"/>
  <c r="B1353" i="3"/>
  <c r="U1352" i="3"/>
  <c r="K1352" i="3"/>
  <c r="E1352" i="3"/>
  <c r="B1352" i="3"/>
  <c r="U1351" i="3"/>
  <c r="K1351" i="3"/>
  <c r="E1351" i="3"/>
  <c r="B1351" i="3"/>
  <c r="U1350" i="3"/>
  <c r="K1350" i="3"/>
  <c r="E1350" i="3"/>
  <c r="B1350" i="3"/>
  <c r="U1349" i="3"/>
  <c r="K1349" i="3"/>
  <c r="E1349" i="3"/>
  <c r="B1349" i="3"/>
  <c r="U1348" i="3"/>
  <c r="K1348" i="3"/>
  <c r="E1348" i="3"/>
  <c r="B1348" i="3"/>
  <c r="U1347" i="3"/>
  <c r="K1347" i="3"/>
  <c r="E1347" i="3"/>
  <c r="B1347" i="3"/>
  <c r="U1346" i="3"/>
  <c r="K1346" i="3"/>
  <c r="E1346" i="3"/>
  <c r="B1346" i="3"/>
  <c r="U1345" i="3"/>
  <c r="K1345" i="3"/>
  <c r="E1345" i="3"/>
  <c r="B1345" i="3"/>
  <c r="U1344" i="3"/>
  <c r="K1344" i="3"/>
  <c r="E1344" i="3"/>
  <c r="B1344" i="3"/>
  <c r="U1343" i="3"/>
  <c r="K1343" i="3"/>
  <c r="E1343" i="3"/>
  <c r="B1343" i="3"/>
  <c r="U1342" i="3"/>
  <c r="K1342" i="3"/>
  <c r="E1342" i="3"/>
  <c r="B1342" i="3"/>
  <c r="U1341" i="3"/>
  <c r="K1341" i="3"/>
  <c r="E1341" i="3"/>
  <c r="B1341" i="3"/>
  <c r="U1340" i="3"/>
  <c r="K1340" i="3"/>
  <c r="E1340" i="3"/>
  <c r="B1340" i="3"/>
  <c r="U1339" i="3"/>
  <c r="K1339" i="3"/>
  <c r="E1339" i="3"/>
  <c r="B1339" i="3"/>
  <c r="U1338" i="3"/>
  <c r="K1338" i="3"/>
  <c r="E1338" i="3"/>
  <c r="B1338" i="3"/>
  <c r="U1337" i="3"/>
  <c r="K1337" i="3"/>
  <c r="E1337" i="3"/>
  <c r="B1337" i="3"/>
  <c r="U1336" i="3"/>
  <c r="K1336" i="3"/>
  <c r="E1336" i="3"/>
  <c r="B1336" i="3"/>
  <c r="U1335" i="3"/>
  <c r="K1335" i="3"/>
  <c r="E1335" i="3"/>
  <c r="B1335" i="3"/>
  <c r="U1334" i="3"/>
  <c r="K1334" i="3"/>
  <c r="E1334" i="3"/>
  <c r="B1334" i="3"/>
  <c r="U1333" i="3"/>
  <c r="K1333" i="3"/>
  <c r="E1333" i="3"/>
  <c r="B1333" i="3"/>
  <c r="U1332" i="3"/>
  <c r="K1332" i="3"/>
  <c r="E1332" i="3"/>
  <c r="B1332" i="3"/>
  <c r="U1331" i="3"/>
  <c r="K1331" i="3"/>
  <c r="E1331" i="3"/>
  <c r="B1331" i="3"/>
  <c r="U1330" i="3"/>
  <c r="K1330" i="3"/>
  <c r="E1330" i="3"/>
  <c r="B1330" i="3"/>
  <c r="U1329" i="3"/>
  <c r="K1329" i="3"/>
  <c r="E1329" i="3"/>
  <c r="B1329" i="3"/>
  <c r="U1328" i="3"/>
  <c r="K1328" i="3"/>
  <c r="E1328" i="3"/>
  <c r="B1328" i="3"/>
  <c r="U1327" i="3"/>
  <c r="K1327" i="3"/>
  <c r="E1327" i="3"/>
  <c r="B1327" i="3"/>
  <c r="U1326" i="3"/>
  <c r="K1326" i="3"/>
  <c r="E1326" i="3"/>
  <c r="B1326" i="3"/>
  <c r="U1325" i="3"/>
  <c r="K1325" i="3"/>
  <c r="E1325" i="3"/>
  <c r="B1325" i="3"/>
  <c r="U1324" i="3"/>
  <c r="K1324" i="3"/>
  <c r="E1324" i="3"/>
  <c r="B1324" i="3"/>
  <c r="U1323" i="3"/>
  <c r="K1323" i="3"/>
  <c r="E1323" i="3"/>
  <c r="B1323" i="3"/>
  <c r="U1322" i="3"/>
  <c r="K1322" i="3"/>
  <c r="E1322" i="3"/>
  <c r="B1322" i="3"/>
  <c r="U1321" i="3"/>
  <c r="K1321" i="3"/>
  <c r="E1321" i="3"/>
  <c r="B1321" i="3"/>
  <c r="U1320" i="3"/>
  <c r="K1320" i="3"/>
  <c r="E1320" i="3"/>
  <c r="B1320" i="3"/>
  <c r="U1319" i="3"/>
  <c r="K1319" i="3"/>
  <c r="E1319" i="3"/>
  <c r="B1319" i="3"/>
  <c r="U1318" i="3"/>
  <c r="K1318" i="3"/>
  <c r="E1318" i="3"/>
  <c r="B1318" i="3"/>
  <c r="U1317" i="3"/>
  <c r="K1317" i="3"/>
  <c r="E1317" i="3"/>
  <c r="B1317" i="3"/>
  <c r="U1316" i="3"/>
  <c r="K1316" i="3"/>
  <c r="E1316" i="3"/>
  <c r="B1316" i="3"/>
  <c r="U1315" i="3"/>
  <c r="K1315" i="3"/>
  <c r="E1315" i="3"/>
  <c r="B1315" i="3"/>
  <c r="U1314" i="3"/>
  <c r="K1314" i="3"/>
  <c r="E1314" i="3"/>
  <c r="B1314" i="3"/>
  <c r="U1313" i="3"/>
  <c r="K1313" i="3"/>
  <c r="E1313" i="3"/>
  <c r="B1313" i="3"/>
  <c r="U1312" i="3"/>
  <c r="K1312" i="3"/>
  <c r="E1312" i="3"/>
  <c r="B1312" i="3"/>
  <c r="U1311" i="3"/>
  <c r="K1311" i="3"/>
  <c r="E1311" i="3"/>
  <c r="B1311" i="3"/>
  <c r="U1310" i="3"/>
  <c r="K1310" i="3"/>
  <c r="E1310" i="3"/>
  <c r="B1310" i="3"/>
  <c r="U1309" i="3"/>
  <c r="K1309" i="3"/>
  <c r="E1309" i="3"/>
  <c r="B1309" i="3"/>
  <c r="U1308" i="3"/>
  <c r="K1308" i="3"/>
  <c r="E1308" i="3"/>
  <c r="B1308" i="3"/>
  <c r="U1307" i="3"/>
  <c r="K1307" i="3"/>
  <c r="E1307" i="3"/>
  <c r="B1307" i="3"/>
  <c r="U1306" i="3"/>
  <c r="K1306" i="3"/>
  <c r="E1306" i="3"/>
  <c r="B1306" i="3"/>
  <c r="U1305" i="3"/>
  <c r="K1305" i="3"/>
  <c r="E1305" i="3"/>
  <c r="B1305" i="3"/>
  <c r="U1304" i="3"/>
  <c r="K1304" i="3"/>
  <c r="E1304" i="3"/>
  <c r="B1304" i="3"/>
  <c r="U1303" i="3"/>
  <c r="K1303" i="3"/>
  <c r="E1303" i="3"/>
  <c r="B1303" i="3"/>
  <c r="U1302" i="3"/>
  <c r="K1302" i="3"/>
  <c r="E1302" i="3"/>
  <c r="B1302" i="3"/>
  <c r="K1301" i="3"/>
  <c r="E1301" i="3"/>
  <c r="B1301" i="3"/>
  <c r="U1300" i="3"/>
  <c r="K1300" i="3"/>
  <c r="E1300" i="3"/>
  <c r="B1300" i="3"/>
  <c r="U1299" i="3"/>
  <c r="K1299" i="3"/>
  <c r="E1299" i="3"/>
  <c r="B1299" i="3"/>
  <c r="U1298" i="3"/>
  <c r="K1298" i="3"/>
  <c r="E1298" i="3"/>
  <c r="B1298" i="3"/>
  <c r="U1297" i="3"/>
  <c r="K1297" i="3"/>
  <c r="E1297" i="3"/>
  <c r="B1297" i="3"/>
  <c r="U1296" i="3"/>
  <c r="K1296" i="3"/>
  <c r="E1296" i="3"/>
  <c r="B1296" i="3"/>
  <c r="U1295" i="3"/>
  <c r="K1295" i="3"/>
  <c r="E1295" i="3"/>
  <c r="B1295" i="3"/>
  <c r="U1294" i="3"/>
  <c r="K1294" i="3"/>
  <c r="E1294" i="3"/>
  <c r="B1294" i="3"/>
  <c r="U1293" i="3"/>
  <c r="K1293" i="3"/>
  <c r="E1293" i="3"/>
  <c r="B1293" i="3"/>
  <c r="U1292" i="3"/>
  <c r="K1292" i="3"/>
  <c r="E1292" i="3"/>
  <c r="B1292" i="3"/>
  <c r="U1291" i="3"/>
  <c r="K1291" i="3"/>
  <c r="E1291" i="3"/>
  <c r="B1291" i="3"/>
  <c r="U1290" i="3"/>
  <c r="K1290" i="3"/>
  <c r="E1290" i="3"/>
  <c r="B1290" i="3"/>
  <c r="U1289" i="3"/>
  <c r="K1289" i="3"/>
  <c r="E1289" i="3"/>
  <c r="B1289" i="3"/>
  <c r="U1288" i="3"/>
  <c r="K1288" i="3"/>
  <c r="E1288" i="3"/>
  <c r="B1288" i="3"/>
  <c r="U1287" i="3"/>
  <c r="K1287" i="3"/>
  <c r="E1287" i="3"/>
  <c r="B1287" i="3"/>
  <c r="U1286" i="3"/>
  <c r="K1286" i="3"/>
  <c r="E1286" i="3"/>
  <c r="B1286" i="3"/>
  <c r="U1285" i="3"/>
  <c r="K1285" i="3"/>
  <c r="E1285" i="3"/>
  <c r="B1285" i="3"/>
  <c r="U1284" i="3"/>
  <c r="K1284" i="3"/>
  <c r="E1284" i="3"/>
  <c r="B1284" i="3"/>
  <c r="U1283" i="3"/>
  <c r="K1283" i="3"/>
  <c r="E1283" i="3"/>
  <c r="B1283" i="3"/>
  <c r="U1282" i="3"/>
  <c r="K1282" i="3"/>
  <c r="E1282" i="3"/>
  <c r="B1282" i="3"/>
  <c r="U1281" i="3"/>
  <c r="K1281" i="3"/>
  <c r="E1281" i="3"/>
  <c r="B1281" i="3"/>
  <c r="U1280" i="3"/>
  <c r="K1280" i="3"/>
  <c r="E1280" i="3"/>
  <c r="B1280" i="3"/>
  <c r="U1279" i="3"/>
  <c r="K1279" i="3"/>
  <c r="E1279" i="3"/>
  <c r="B1279" i="3"/>
  <c r="U1278" i="3"/>
  <c r="K1278" i="3"/>
  <c r="E1278" i="3"/>
  <c r="B1278" i="3"/>
  <c r="U1277" i="3"/>
  <c r="K1277" i="3"/>
  <c r="E1277" i="3"/>
  <c r="B1277" i="3"/>
  <c r="U1276" i="3"/>
  <c r="K1276" i="3"/>
  <c r="E1276" i="3"/>
  <c r="B1276" i="3"/>
  <c r="U1275" i="3"/>
  <c r="K1275" i="3"/>
  <c r="E1275" i="3"/>
  <c r="B1275" i="3"/>
  <c r="U1274" i="3"/>
  <c r="K1274" i="3"/>
  <c r="E1274" i="3"/>
  <c r="B1274" i="3"/>
  <c r="U1273" i="3"/>
  <c r="K1273" i="3"/>
  <c r="E1273" i="3"/>
  <c r="B1273" i="3"/>
  <c r="U1272" i="3"/>
  <c r="K1272" i="3"/>
  <c r="E1272" i="3"/>
  <c r="B1272" i="3"/>
  <c r="U1271" i="3"/>
  <c r="K1271" i="3"/>
  <c r="E1271" i="3"/>
  <c r="B1271" i="3"/>
  <c r="U1270" i="3"/>
  <c r="K1270" i="3"/>
  <c r="E1270" i="3"/>
  <c r="B1270" i="3"/>
  <c r="U1269" i="3"/>
  <c r="K1269" i="3"/>
  <c r="E1269" i="3"/>
  <c r="B1269" i="3"/>
  <c r="U1268" i="3"/>
  <c r="K1268" i="3"/>
  <c r="E1268" i="3"/>
  <c r="B1268" i="3"/>
  <c r="U1267" i="3"/>
  <c r="K1267" i="3"/>
  <c r="E1267" i="3"/>
  <c r="B1267" i="3"/>
  <c r="U1266" i="3"/>
  <c r="K1266" i="3"/>
  <c r="E1266" i="3"/>
  <c r="B1266" i="3"/>
  <c r="U1265" i="3"/>
  <c r="K1265" i="3"/>
  <c r="E1265" i="3"/>
  <c r="B1265" i="3"/>
  <c r="U1264" i="3"/>
  <c r="K1264" i="3"/>
  <c r="E1264" i="3"/>
  <c r="B1264" i="3"/>
  <c r="U1263" i="3"/>
  <c r="K1263" i="3"/>
  <c r="E1263" i="3"/>
  <c r="B1263" i="3"/>
  <c r="U1262" i="3"/>
  <c r="K1262" i="3"/>
  <c r="E1262" i="3"/>
  <c r="B1262" i="3"/>
  <c r="U1261" i="3"/>
  <c r="K1261" i="3"/>
  <c r="E1261" i="3"/>
  <c r="B1261" i="3"/>
  <c r="U1260" i="3"/>
  <c r="K1260" i="3"/>
  <c r="E1260" i="3"/>
  <c r="B1260" i="3"/>
  <c r="U1259" i="3"/>
  <c r="K1259" i="3"/>
  <c r="E1259" i="3"/>
  <c r="B1259" i="3"/>
  <c r="U1258" i="3"/>
  <c r="K1258" i="3"/>
  <c r="E1258" i="3"/>
  <c r="B1258" i="3"/>
  <c r="U1257" i="3"/>
  <c r="K1257" i="3"/>
  <c r="E1257" i="3"/>
  <c r="B1257" i="3"/>
  <c r="U1256" i="3"/>
  <c r="K1256" i="3"/>
  <c r="E1256" i="3"/>
  <c r="B1256" i="3"/>
  <c r="U1255" i="3"/>
  <c r="K1255" i="3"/>
  <c r="E1255" i="3"/>
  <c r="B1255" i="3"/>
  <c r="U1254" i="3"/>
  <c r="K1254" i="3"/>
  <c r="E1254" i="3"/>
  <c r="B1254" i="3"/>
  <c r="U1253" i="3"/>
  <c r="K1253" i="3"/>
  <c r="E1253" i="3"/>
  <c r="B1253" i="3"/>
  <c r="U1252" i="3"/>
  <c r="K1252" i="3"/>
  <c r="E1252" i="3"/>
  <c r="B1252" i="3"/>
  <c r="U1251" i="3"/>
  <c r="K1251" i="3"/>
  <c r="E1251" i="3"/>
  <c r="B1251" i="3"/>
  <c r="U1250" i="3"/>
  <c r="K1250" i="3"/>
  <c r="E1250" i="3"/>
  <c r="B1250" i="3"/>
  <c r="U1249" i="3"/>
  <c r="K1249" i="3"/>
  <c r="E1249" i="3"/>
  <c r="B1249" i="3"/>
  <c r="U1248" i="3"/>
  <c r="K1248" i="3"/>
  <c r="E1248" i="3"/>
  <c r="B1248" i="3"/>
  <c r="U1247" i="3"/>
  <c r="K1247" i="3"/>
  <c r="E1247" i="3"/>
  <c r="B1247" i="3"/>
  <c r="U1246" i="3"/>
  <c r="K1246" i="3"/>
  <c r="E1246" i="3"/>
  <c r="B1246" i="3"/>
  <c r="U1245" i="3"/>
  <c r="K1245" i="3"/>
  <c r="E1245" i="3"/>
  <c r="B1245" i="3"/>
  <c r="U1244" i="3"/>
  <c r="K1244" i="3"/>
  <c r="H1244" i="3"/>
  <c r="E1244" i="3"/>
  <c r="B1244" i="3"/>
  <c r="U1243" i="3"/>
  <c r="K1243" i="3"/>
  <c r="E1243" i="3"/>
  <c r="B1243" i="3"/>
  <c r="U1242" i="3"/>
  <c r="K1242" i="3"/>
  <c r="E1242" i="3"/>
  <c r="B1242" i="3"/>
  <c r="U1241" i="3"/>
  <c r="K1241" i="3"/>
  <c r="E1241" i="3"/>
  <c r="B1241" i="3"/>
  <c r="U1240" i="3"/>
  <c r="K1240" i="3"/>
  <c r="E1240" i="3"/>
  <c r="B1240" i="3"/>
  <c r="U1239" i="3"/>
  <c r="K1239" i="3"/>
  <c r="E1239" i="3"/>
  <c r="B1239" i="3"/>
  <c r="U1238" i="3"/>
  <c r="K1238" i="3"/>
  <c r="E1238" i="3"/>
  <c r="B1238" i="3"/>
  <c r="U1237" i="3"/>
  <c r="K1237" i="3"/>
  <c r="E1237" i="3"/>
  <c r="B1237" i="3"/>
  <c r="U1236" i="3"/>
  <c r="K1236" i="3"/>
  <c r="E1236" i="3"/>
  <c r="B1236" i="3"/>
  <c r="U1235" i="3"/>
  <c r="K1235" i="3"/>
  <c r="E1235" i="3"/>
  <c r="B1235" i="3"/>
  <c r="U1234" i="3"/>
  <c r="K1234" i="3"/>
  <c r="E1234" i="3"/>
  <c r="B1234" i="3"/>
  <c r="U1233" i="3"/>
  <c r="K1233" i="3"/>
  <c r="E1233" i="3"/>
  <c r="B1233" i="3"/>
  <c r="U1232" i="3"/>
  <c r="K1232" i="3"/>
  <c r="E1232" i="3"/>
  <c r="B1232" i="3"/>
  <c r="U1231" i="3"/>
  <c r="K1231" i="3"/>
  <c r="E1231" i="3"/>
  <c r="B1231" i="3"/>
  <c r="U1230" i="3"/>
  <c r="K1230" i="3"/>
  <c r="E1230" i="3"/>
  <c r="B1230" i="3"/>
  <c r="U1229" i="3"/>
  <c r="K1229" i="3"/>
  <c r="E1229" i="3"/>
  <c r="B1229" i="3"/>
  <c r="U1228" i="3"/>
  <c r="K1228" i="3"/>
  <c r="E1228" i="3"/>
  <c r="B1228" i="3"/>
  <c r="U1227" i="3"/>
  <c r="K1227" i="3"/>
  <c r="E1227" i="3"/>
  <c r="B1227" i="3"/>
  <c r="U1226" i="3"/>
  <c r="K1226" i="3"/>
  <c r="E1226" i="3"/>
  <c r="B1226" i="3"/>
  <c r="U1225" i="3"/>
  <c r="K1225" i="3"/>
  <c r="E1225" i="3"/>
  <c r="B1225" i="3"/>
  <c r="U1224" i="3"/>
  <c r="K1224" i="3"/>
  <c r="E1224" i="3"/>
  <c r="B1224" i="3"/>
  <c r="U1223" i="3"/>
  <c r="K1223" i="3"/>
  <c r="E1223" i="3"/>
  <c r="B1223" i="3"/>
  <c r="U1222" i="3"/>
  <c r="K1222" i="3"/>
  <c r="E1222" i="3"/>
  <c r="B1222" i="3"/>
  <c r="U1221" i="3"/>
  <c r="K1221" i="3"/>
  <c r="E1221" i="3"/>
  <c r="B1221" i="3"/>
  <c r="U1220" i="3"/>
  <c r="K1220" i="3"/>
  <c r="E1220" i="3"/>
  <c r="B1220" i="3"/>
  <c r="U1219" i="3"/>
  <c r="K1219" i="3"/>
  <c r="E1219" i="3"/>
  <c r="B1219" i="3"/>
  <c r="U1218" i="3"/>
  <c r="K1218" i="3"/>
  <c r="E1218" i="3"/>
  <c r="B1218" i="3"/>
  <c r="U1217" i="3"/>
  <c r="K1217" i="3"/>
  <c r="E1217" i="3"/>
  <c r="B1217" i="3"/>
  <c r="U1216" i="3"/>
  <c r="K1216" i="3"/>
  <c r="E1216" i="3"/>
  <c r="B1216" i="3"/>
  <c r="U1215" i="3"/>
  <c r="K1215" i="3"/>
  <c r="E1215" i="3"/>
  <c r="B1215" i="3"/>
  <c r="U1214" i="3"/>
  <c r="K1214" i="3"/>
  <c r="E1214" i="3"/>
  <c r="B1214" i="3"/>
  <c r="U1213" i="3"/>
  <c r="K1213" i="3"/>
  <c r="E1213" i="3"/>
  <c r="B1213" i="3"/>
  <c r="U1212" i="3"/>
  <c r="K1212" i="3"/>
  <c r="E1212" i="3"/>
  <c r="B1212" i="3"/>
  <c r="U1211" i="3"/>
  <c r="K1211" i="3"/>
  <c r="E1211" i="3"/>
  <c r="B1211" i="3"/>
  <c r="U1210" i="3"/>
  <c r="K1210" i="3"/>
  <c r="E1210" i="3"/>
  <c r="B1210" i="3"/>
  <c r="U1209" i="3"/>
  <c r="K1209" i="3"/>
  <c r="E1209" i="3"/>
  <c r="B1209" i="3"/>
  <c r="U1208" i="3"/>
  <c r="K1208" i="3"/>
  <c r="E1208" i="3"/>
  <c r="B1208" i="3"/>
  <c r="U1207" i="3"/>
  <c r="K1207" i="3"/>
  <c r="E1207" i="3"/>
  <c r="B1207" i="3"/>
  <c r="U1206" i="3"/>
  <c r="K1206" i="3"/>
  <c r="E1206" i="3"/>
  <c r="B1206" i="3"/>
  <c r="U1205" i="3"/>
  <c r="K1205" i="3"/>
  <c r="E1205" i="3"/>
  <c r="B1205" i="3"/>
  <c r="U1204" i="3"/>
  <c r="K1204" i="3"/>
  <c r="E1204" i="3"/>
  <c r="B1204" i="3"/>
  <c r="U1203" i="3"/>
  <c r="K1203" i="3"/>
  <c r="E1203" i="3"/>
  <c r="B1203" i="3"/>
  <c r="U1202" i="3"/>
  <c r="K1202" i="3"/>
  <c r="E1202" i="3"/>
  <c r="B1202" i="3"/>
  <c r="U1201" i="3"/>
  <c r="K1201" i="3"/>
  <c r="E1201" i="3"/>
  <c r="B1201" i="3"/>
  <c r="U1200" i="3"/>
  <c r="K1200" i="3"/>
  <c r="E1200" i="3"/>
  <c r="B1200" i="3"/>
  <c r="U1199" i="3"/>
  <c r="K1199" i="3"/>
  <c r="E1199" i="3"/>
  <c r="B1199" i="3"/>
  <c r="U1198" i="3"/>
  <c r="K1198" i="3"/>
  <c r="E1198" i="3"/>
  <c r="B1198" i="3"/>
  <c r="U1197" i="3"/>
  <c r="K1197" i="3"/>
  <c r="E1197" i="3"/>
  <c r="B1197" i="3"/>
  <c r="U1196" i="3"/>
  <c r="K1196" i="3"/>
  <c r="E1196" i="3"/>
  <c r="B1196" i="3"/>
  <c r="U1195" i="3"/>
  <c r="K1195" i="3"/>
  <c r="E1195" i="3"/>
  <c r="B1195" i="3"/>
  <c r="U1194" i="3"/>
  <c r="K1194" i="3"/>
  <c r="E1194" i="3"/>
  <c r="B1194" i="3"/>
  <c r="U1193" i="3"/>
  <c r="K1193" i="3"/>
  <c r="E1193" i="3"/>
  <c r="B1193" i="3"/>
  <c r="U1192" i="3"/>
  <c r="K1192" i="3"/>
  <c r="E1192" i="3"/>
  <c r="B1192" i="3"/>
  <c r="U1191" i="3"/>
  <c r="K1191" i="3"/>
  <c r="E1191" i="3"/>
  <c r="B1191" i="3"/>
  <c r="U1190" i="3"/>
  <c r="K1190" i="3"/>
  <c r="E1190" i="3"/>
  <c r="B1190" i="3"/>
  <c r="U1189" i="3"/>
  <c r="K1189" i="3"/>
  <c r="E1189" i="3"/>
  <c r="B1189" i="3"/>
  <c r="U1188" i="3"/>
  <c r="K1188" i="3"/>
  <c r="E1188" i="3"/>
  <c r="B1188" i="3"/>
  <c r="U1187" i="3"/>
  <c r="K1187" i="3"/>
  <c r="E1187" i="3"/>
  <c r="B1187" i="3"/>
  <c r="U1186" i="3"/>
  <c r="K1186" i="3"/>
  <c r="E1186" i="3"/>
  <c r="B1186" i="3"/>
  <c r="U1185" i="3"/>
  <c r="K1185" i="3"/>
  <c r="E1185" i="3"/>
  <c r="B1185" i="3"/>
  <c r="U1184" i="3"/>
  <c r="K1184" i="3"/>
  <c r="E1184" i="3"/>
  <c r="B1184" i="3"/>
  <c r="U1183" i="3"/>
  <c r="K1183" i="3"/>
  <c r="E1183" i="3"/>
  <c r="B1183" i="3"/>
  <c r="U1182" i="3"/>
  <c r="K1182" i="3"/>
  <c r="E1182" i="3"/>
  <c r="B1182" i="3"/>
  <c r="U1181" i="3"/>
  <c r="K1181" i="3"/>
  <c r="E1181" i="3"/>
  <c r="B1181" i="3"/>
  <c r="U1180" i="3"/>
  <c r="K1180" i="3"/>
  <c r="E1180" i="3"/>
  <c r="B1180" i="3"/>
  <c r="U1179" i="3"/>
  <c r="K1179" i="3"/>
  <c r="E1179" i="3"/>
  <c r="B1179" i="3"/>
  <c r="U1178" i="3"/>
  <c r="K1178" i="3"/>
  <c r="E1178" i="3"/>
  <c r="B1178" i="3"/>
  <c r="U1177" i="3"/>
  <c r="K1177" i="3"/>
  <c r="E1177" i="3"/>
  <c r="B1177" i="3"/>
  <c r="U1176" i="3"/>
  <c r="K1176" i="3"/>
  <c r="E1176" i="3"/>
  <c r="B1176" i="3"/>
  <c r="U1175" i="3"/>
  <c r="K1175" i="3"/>
  <c r="E1175" i="3"/>
  <c r="B1175" i="3"/>
  <c r="U1174" i="3"/>
  <c r="K1174" i="3"/>
  <c r="E1174" i="3"/>
  <c r="B1174" i="3"/>
  <c r="K1173" i="3"/>
  <c r="E1173" i="3"/>
  <c r="B1173" i="3"/>
  <c r="U1172" i="3"/>
  <c r="K1172" i="3"/>
  <c r="E1172" i="3"/>
  <c r="B1172" i="3"/>
  <c r="U1171" i="3"/>
  <c r="K1171" i="3"/>
  <c r="E1171" i="3"/>
  <c r="B1171" i="3"/>
  <c r="U1170" i="3"/>
  <c r="K1170" i="3"/>
  <c r="E1170" i="3"/>
  <c r="B1170" i="3"/>
  <c r="U1169" i="3"/>
  <c r="K1169" i="3"/>
  <c r="E1169" i="3"/>
  <c r="B1169" i="3"/>
  <c r="U1168" i="3"/>
  <c r="K1168" i="3"/>
  <c r="E1168" i="3"/>
  <c r="B1168" i="3"/>
  <c r="U1167" i="3"/>
  <c r="K1167" i="3"/>
  <c r="E1167" i="3"/>
  <c r="B1167" i="3"/>
  <c r="U1166" i="3"/>
  <c r="K1166" i="3"/>
  <c r="E1166" i="3"/>
  <c r="B1166" i="3"/>
  <c r="U1165" i="3"/>
  <c r="K1165" i="3"/>
  <c r="E1165" i="3"/>
  <c r="B1165" i="3"/>
  <c r="U1164" i="3"/>
  <c r="K1164" i="3"/>
  <c r="E1164" i="3"/>
  <c r="B1164" i="3"/>
  <c r="K1163" i="3"/>
  <c r="E1163" i="3"/>
  <c r="B1163" i="3"/>
  <c r="U1162" i="3"/>
  <c r="K1162" i="3"/>
  <c r="E1162" i="3"/>
  <c r="B1162" i="3"/>
  <c r="U1161" i="3"/>
  <c r="K1161" i="3"/>
  <c r="E1161" i="3"/>
  <c r="B1161" i="3"/>
  <c r="U1160" i="3"/>
  <c r="K1160" i="3"/>
  <c r="E1160" i="3"/>
  <c r="B1160" i="3"/>
  <c r="U1159" i="3"/>
  <c r="K1159" i="3"/>
  <c r="E1159" i="3"/>
  <c r="B1159" i="3"/>
  <c r="U1158" i="3"/>
  <c r="K1158" i="3"/>
  <c r="E1158" i="3"/>
  <c r="B1158" i="3"/>
  <c r="U1157" i="3"/>
  <c r="K1157" i="3"/>
  <c r="E1157" i="3"/>
  <c r="B1157" i="3"/>
  <c r="U1156" i="3"/>
  <c r="K1156" i="3"/>
  <c r="E1156" i="3"/>
  <c r="B1156" i="3"/>
  <c r="U1155" i="3"/>
  <c r="K1155" i="3"/>
  <c r="E1155" i="3"/>
  <c r="B1155" i="3"/>
  <c r="U1154" i="3"/>
  <c r="K1154" i="3"/>
  <c r="E1154" i="3"/>
  <c r="B1154" i="3"/>
  <c r="U1153" i="3"/>
  <c r="K1153" i="3"/>
  <c r="E1153" i="3"/>
  <c r="B1153" i="3"/>
  <c r="U1152" i="3"/>
  <c r="K1152" i="3"/>
  <c r="E1152" i="3"/>
  <c r="B1152" i="3"/>
  <c r="U1151" i="3"/>
  <c r="K1151" i="3"/>
  <c r="E1151" i="3"/>
  <c r="B1151" i="3"/>
  <c r="U1150" i="3"/>
  <c r="K1150" i="3"/>
  <c r="E1150" i="3"/>
  <c r="B1150" i="3"/>
  <c r="U1149" i="3"/>
  <c r="K1149" i="3"/>
  <c r="E1149" i="3"/>
  <c r="B1149" i="3"/>
  <c r="U1148" i="3"/>
  <c r="K1148" i="3"/>
  <c r="E1148" i="3"/>
  <c r="B1148" i="3"/>
  <c r="U1147" i="3"/>
  <c r="K1147" i="3"/>
  <c r="E1147" i="3"/>
  <c r="B1147" i="3"/>
  <c r="U1146" i="3"/>
  <c r="K1146" i="3"/>
  <c r="E1146" i="3"/>
  <c r="B1146" i="3"/>
  <c r="U1145" i="3"/>
  <c r="K1145" i="3"/>
  <c r="E1145" i="3"/>
  <c r="B1145" i="3"/>
  <c r="U1144" i="3"/>
  <c r="K1144" i="3"/>
  <c r="E1144" i="3"/>
  <c r="B1144" i="3"/>
  <c r="U1143" i="3"/>
  <c r="K1143" i="3"/>
  <c r="E1143" i="3"/>
  <c r="B1143" i="3"/>
  <c r="U1142" i="3"/>
  <c r="K1142" i="3"/>
  <c r="E1142" i="3"/>
  <c r="B1142" i="3"/>
  <c r="U1141" i="3"/>
  <c r="K1141" i="3"/>
  <c r="E1141" i="3"/>
  <c r="B1141" i="3"/>
  <c r="U1140" i="3"/>
  <c r="K1140" i="3"/>
  <c r="E1140" i="3"/>
  <c r="B1140" i="3"/>
  <c r="U1139" i="3"/>
  <c r="K1139" i="3"/>
  <c r="E1139" i="3"/>
  <c r="B1139" i="3"/>
  <c r="U1138" i="3"/>
  <c r="K1138" i="3"/>
  <c r="E1138" i="3"/>
  <c r="B1138" i="3"/>
  <c r="U1137" i="3"/>
  <c r="K1137" i="3"/>
  <c r="E1137" i="3"/>
  <c r="B1137" i="3"/>
  <c r="U1136" i="3"/>
  <c r="K1136" i="3"/>
  <c r="E1136" i="3"/>
  <c r="B1136" i="3"/>
  <c r="U1135" i="3"/>
  <c r="K1135" i="3"/>
  <c r="E1135" i="3"/>
  <c r="B1135" i="3"/>
  <c r="U1134" i="3"/>
  <c r="K1134" i="3"/>
  <c r="E1134" i="3"/>
  <c r="B1134" i="3"/>
  <c r="U1133" i="3"/>
  <c r="K1133" i="3"/>
  <c r="E1133" i="3"/>
  <c r="B1133" i="3"/>
  <c r="U1132" i="3"/>
  <c r="K1132" i="3"/>
  <c r="E1132" i="3"/>
  <c r="B1132" i="3"/>
  <c r="U1131" i="3"/>
  <c r="K1131" i="3"/>
  <c r="E1131" i="3"/>
  <c r="B1131" i="3"/>
  <c r="U1130" i="3"/>
  <c r="K1130" i="3"/>
  <c r="E1130" i="3"/>
  <c r="B1130" i="3"/>
  <c r="U1129" i="3"/>
  <c r="K1129" i="3"/>
  <c r="E1129" i="3"/>
  <c r="B1129" i="3"/>
  <c r="U1128" i="3"/>
  <c r="K1128" i="3"/>
  <c r="E1128" i="3"/>
  <c r="B1128" i="3"/>
  <c r="U1127" i="3"/>
  <c r="K1127" i="3"/>
  <c r="E1127" i="3"/>
  <c r="B1127" i="3"/>
  <c r="U1126" i="3"/>
  <c r="K1126" i="3"/>
  <c r="E1126" i="3"/>
  <c r="B1126" i="3"/>
  <c r="U1125" i="3"/>
  <c r="K1125" i="3"/>
  <c r="E1125" i="3"/>
  <c r="B1125" i="3"/>
  <c r="U1124" i="3"/>
  <c r="K1124" i="3"/>
  <c r="E1124" i="3"/>
  <c r="B1124" i="3"/>
  <c r="U1123" i="3"/>
  <c r="K1123" i="3"/>
  <c r="E1123" i="3"/>
  <c r="B1123" i="3"/>
  <c r="U1122" i="3"/>
  <c r="K1122" i="3"/>
  <c r="E1122" i="3"/>
  <c r="B1122" i="3"/>
  <c r="U1121" i="3"/>
  <c r="K1121" i="3"/>
  <c r="E1121" i="3"/>
  <c r="B1121" i="3"/>
  <c r="U1120" i="3"/>
  <c r="K1120" i="3"/>
  <c r="E1120" i="3"/>
  <c r="B1120" i="3"/>
  <c r="U1119" i="3"/>
  <c r="K1119" i="3"/>
  <c r="E1119" i="3"/>
  <c r="B1119" i="3"/>
  <c r="U1118" i="3"/>
  <c r="K1118" i="3"/>
  <c r="E1118" i="3"/>
  <c r="B1118" i="3"/>
  <c r="U1117" i="3"/>
  <c r="K1117" i="3"/>
  <c r="E1117" i="3"/>
  <c r="B1117" i="3"/>
  <c r="U1116" i="3"/>
  <c r="K1116" i="3"/>
  <c r="E1116" i="3"/>
  <c r="B1116" i="3"/>
  <c r="U1115" i="3"/>
  <c r="K1115" i="3"/>
  <c r="E1115" i="3"/>
  <c r="B1115" i="3"/>
  <c r="U1114" i="3"/>
  <c r="K1114" i="3"/>
  <c r="E1114" i="3"/>
  <c r="B1114" i="3"/>
  <c r="U1113" i="3"/>
  <c r="K1113" i="3"/>
  <c r="E1113" i="3"/>
  <c r="B1113" i="3"/>
  <c r="U1112" i="3"/>
  <c r="K1112" i="3"/>
  <c r="E1112" i="3"/>
  <c r="B1112" i="3"/>
  <c r="U1111" i="3"/>
  <c r="K1111" i="3"/>
  <c r="E1111" i="3"/>
  <c r="B1111" i="3"/>
  <c r="U1110" i="3"/>
  <c r="K1110" i="3"/>
  <c r="E1110" i="3"/>
  <c r="B1110" i="3"/>
  <c r="U1109" i="3"/>
  <c r="K1109" i="3"/>
  <c r="E1109" i="3"/>
  <c r="B1109" i="3"/>
  <c r="U1108" i="3"/>
  <c r="K1108" i="3"/>
  <c r="E1108" i="3"/>
  <c r="B1108" i="3"/>
  <c r="U1107" i="3"/>
  <c r="K1107" i="3"/>
  <c r="E1107" i="3"/>
  <c r="B1107" i="3"/>
  <c r="U1106" i="3"/>
  <c r="K1106" i="3"/>
  <c r="E1106" i="3"/>
  <c r="B1106" i="3"/>
  <c r="U1105" i="3"/>
  <c r="K1105" i="3"/>
  <c r="E1105" i="3"/>
  <c r="B1105" i="3"/>
  <c r="U1104" i="3"/>
  <c r="K1104" i="3"/>
  <c r="E1104" i="3"/>
  <c r="B1104" i="3"/>
  <c r="U1103" i="3"/>
  <c r="K1103" i="3"/>
  <c r="E1103" i="3"/>
  <c r="B1103" i="3"/>
  <c r="U1102" i="3"/>
  <c r="K1102" i="3"/>
  <c r="E1102" i="3"/>
  <c r="B1102" i="3"/>
  <c r="U1101" i="3"/>
  <c r="K1101" i="3"/>
  <c r="E1101" i="3"/>
  <c r="B1101" i="3"/>
  <c r="U1100" i="3"/>
  <c r="K1100" i="3"/>
  <c r="E1100" i="3"/>
  <c r="B1100" i="3"/>
  <c r="U1099" i="3"/>
  <c r="K1099" i="3"/>
  <c r="E1099" i="3"/>
  <c r="B1099" i="3"/>
  <c r="U1098" i="3"/>
  <c r="K1098" i="3"/>
  <c r="E1098" i="3"/>
  <c r="B1098" i="3"/>
  <c r="U1097" i="3"/>
  <c r="K1097" i="3"/>
  <c r="E1097" i="3"/>
  <c r="B1097" i="3"/>
  <c r="U1096" i="3"/>
  <c r="K1096" i="3"/>
  <c r="E1096" i="3"/>
  <c r="B1096" i="3"/>
  <c r="U1095" i="3"/>
  <c r="K1095" i="3"/>
  <c r="E1095" i="3"/>
  <c r="B1095" i="3"/>
  <c r="U1094" i="3"/>
  <c r="K1094" i="3"/>
  <c r="E1094" i="3"/>
  <c r="B1094" i="3"/>
  <c r="U1093" i="3"/>
  <c r="K1093" i="3"/>
  <c r="E1093" i="3"/>
  <c r="B1093" i="3"/>
  <c r="U1092" i="3"/>
  <c r="K1092" i="3"/>
  <c r="E1092" i="3"/>
  <c r="B1092" i="3"/>
  <c r="U1091" i="3"/>
  <c r="K1091" i="3"/>
  <c r="E1091" i="3"/>
  <c r="B1091" i="3"/>
  <c r="U1090" i="3"/>
  <c r="K1090" i="3"/>
  <c r="E1090" i="3"/>
  <c r="B1090" i="3"/>
  <c r="U1089" i="3"/>
  <c r="K1089" i="3"/>
  <c r="E1089" i="3"/>
  <c r="B1089" i="3"/>
  <c r="U1088" i="3"/>
  <c r="K1088" i="3"/>
  <c r="E1088" i="3"/>
  <c r="B1088" i="3"/>
  <c r="U1087" i="3"/>
  <c r="K1087" i="3"/>
  <c r="E1087" i="3"/>
  <c r="B1087" i="3"/>
  <c r="U1086" i="3"/>
  <c r="K1086" i="3"/>
  <c r="E1086" i="3"/>
  <c r="B1086" i="3"/>
  <c r="U1085" i="3"/>
  <c r="K1085" i="3"/>
  <c r="E1085" i="3"/>
  <c r="B1085" i="3"/>
  <c r="U1084" i="3"/>
  <c r="K1084" i="3"/>
  <c r="E1084" i="3"/>
  <c r="B1084" i="3"/>
  <c r="U1083" i="3"/>
  <c r="K1083" i="3"/>
  <c r="E1083" i="3"/>
  <c r="B1083" i="3"/>
  <c r="U1082" i="3"/>
  <c r="K1082" i="3"/>
  <c r="E1082" i="3"/>
  <c r="B1082" i="3"/>
  <c r="U1081" i="3"/>
  <c r="K1081" i="3"/>
  <c r="E1081" i="3"/>
  <c r="B1081" i="3"/>
  <c r="K1080" i="3"/>
  <c r="E1080" i="3"/>
  <c r="B1080" i="3"/>
  <c r="U1079" i="3"/>
  <c r="K1079" i="3"/>
  <c r="E1079" i="3"/>
  <c r="B1079" i="3"/>
  <c r="U1078" i="3"/>
  <c r="K1078" i="3"/>
  <c r="E1078" i="3"/>
  <c r="B1078" i="3"/>
  <c r="U1077" i="3"/>
  <c r="K1077" i="3"/>
  <c r="E1077" i="3"/>
  <c r="B1077" i="3"/>
  <c r="U1076" i="3"/>
  <c r="K1076" i="3"/>
  <c r="E1076" i="3"/>
  <c r="B1076" i="3"/>
  <c r="U1075" i="3"/>
  <c r="K1075" i="3"/>
  <c r="E1075" i="3"/>
  <c r="B1075" i="3"/>
  <c r="U1074" i="3"/>
  <c r="K1074" i="3"/>
  <c r="E1074" i="3"/>
  <c r="B1074" i="3"/>
  <c r="U1073" i="3"/>
  <c r="K1073" i="3"/>
  <c r="E1073" i="3"/>
  <c r="B1073" i="3"/>
  <c r="U1072" i="3"/>
  <c r="K1072" i="3"/>
  <c r="E1072" i="3"/>
  <c r="B1072" i="3"/>
  <c r="U1071" i="3"/>
  <c r="K1071" i="3"/>
  <c r="E1071" i="3"/>
  <c r="B1071" i="3"/>
  <c r="U1070" i="3"/>
  <c r="K1070" i="3"/>
  <c r="E1070" i="3"/>
  <c r="B1070" i="3"/>
  <c r="U1069" i="3"/>
  <c r="K1069" i="3"/>
  <c r="E1069" i="3"/>
  <c r="B1069" i="3"/>
  <c r="U1068" i="3"/>
  <c r="K1068" i="3"/>
  <c r="E1068" i="3"/>
  <c r="B1068" i="3"/>
  <c r="U1067" i="3"/>
  <c r="K1067" i="3"/>
  <c r="E1067" i="3"/>
  <c r="B1067" i="3"/>
  <c r="U1066" i="3"/>
  <c r="K1066" i="3"/>
  <c r="E1066" i="3"/>
  <c r="B1066" i="3"/>
  <c r="U1065" i="3"/>
  <c r="K1065" i="3"/>
  <c r="E1065" i="3"/>
  <c r="B1065" i="3"/>
  <c r="U1064" i="3"/>
  <c r="K1064" i="3"/>
  <c r="E1064" i="3"/>
  <c r="B1064" i="3"/>
  <c r="U1063" i="3"/>
  <c r="K1063" i="3"/>
  <c r="E1063" i="3"/>
  <c r="B1063" i="3"/>
  <c r="U1062" i="3"/>
  <c r="K1062" i="3"/>
  <c r="E1062" i="3"/>
  <c r="B1062" i="3"/>
  <c r="U1061" i="3"/>
  <c r="K1061" i="3"/>
  <c r="E1061" i="3"/>
  <c r="B1061" i="3"/>
  <c r="U1060" i="3"/>
  <c r="K1060" i="3"/>
  <c r="E1060" i="3"/>
  <c r="B1060" i="3"/>
  <c r="U1059" i="3"/>
  <c r="K1059" i="3"/>
  <c r="E1059" i="3"/>
  <c r="B1059" i="3"/>
  <c r="U1058" i="3"/>
  <c r="K1058" i="3"/>
  <c r="E1058" i="3"/>
  <c r="B1058" i="3"/>
  <c r="U1057" i="3"/>
  <c r="K1057" i="3"/>
  <c r="E1057" i="3"/>
  <c r="B1057" i="3"/>
  <c r="U1056" i="3"/>
  <c r="K1056" i="3"/>
  <c r="E1056" i="3"/>
  <c r="B1056" i="3"/>
  <c r="U1055" i="3"/>
  <c r="K1055" i="3"/>
  <c r="E1055" i="3"/>
  <c r="B1055" i="3"/>
  <c r="U1054" i="3"/>
  <c r="K1054" i="3"/>
  <c r="E1054" i="3"/>
  <c r="B1054" i="3"/>
  <c r="U1053" i="3"/>
  <c r="K1053" i="3"/>
  <c r="E1053" i="3"/>
  <c r="B1053" i="3"/>
  <c r="U1052" i="3"/>
  <c r="K1052" i="3"/>
  <c r="E1052" i="3"/>
  <c r="B1052" i="3"/>
  <c r="U1051" i="3"/>
  <c r="K1051" i="3"/>
  <c r="E1051" i="3"/>
  <c r="B1051" i="3"/>
  <c r="U1050" i="3"/>
  <c r="K1050" i="3"/>
  <c r="E1050" i="3"/>
  <c r="B1050" i="3"/>
  <c r="U1049" i="3"/>
  <c r="K1049" i="3"/>
  <c r="E1049" i="3"/>
  <c r="B1049" i="3"/>
  <c r="U1048" i="3"/>
  <c r="K1048" i="3"/>
  <c r="E1048" i="3"/>
  <c r="B1048" i="3"/>
  <c r="U1047" i="3"/>
  <c r="K1047" i="3"/>
  <c r="E1047" i="3"/>
  <c r="B1047" i="3"/>
  <c r="U1046" i="3"/>
  <c r="K1046" i="3"/>
  <c r="E1046" i="3"/>
  <c r="B1046" i="3"/>
  <c r="U1045" i="3"/>
  <c r="K1045" i="3"/>
  <c r="E1045" i="3"/>
  <c r="B1045" i="3"/>
  <c r="U1044" i="3"/>
  <c r="K1044" i="3"/>
  <c r="E1044" i="3"/>
  <c r="B1044" i="3"/>
  <c r="U1043" i="3"/>
  <c r="K1043" i="3"/>
  <c r="E1043" i="3"/>
  <c r="B1043" i="3"/>
  <c r="U1042" i="3"/>
  <c r="K1042" i="3"/>
  <c r="E1042" i="3"/>
  <c r="B1042" i="3"/>
  <c r="U1041" i="3"/>
  <c r="K1041" i="3"/>
  <c r="E1041" i="3"/>
  <c r="B1041" i="3"/>
  <c r="U1040" i="3"/>
  <c r="K1040" i="3"/>
  <c r="E1040" i="3"/>
  <c r="B1040" i="3"/>
  <c r="U1039" i="3"/>
  <c r="K1039" i="3"/>
  <c r="E1039" i="3"/>
  <c r="B1039" i="3"/>
  <c r="U1038" i="3"/>
  <c r="K1038" i="3"/>
  <c r="E1038" i="3"/>
  <c r="B1038" i="3"/>
  <c r="U1037" i="3"/>
  <c r="K1037" i="3"/>
  <c r="E1037" i="3"/>
  <c r="B1037" i="3"/>
  <c r="U1036" i="3"/>
  <c r="K1036" i="3"/>
  <c r="E1036" i="3"/>
  <c r="B1036" i="3"/>
  <c r="U1035" i="3"/>
  <c r="K1035" i="3"/>
  <c r="E1035" i="3"/>
  <c r="B1035" i="3"/>
  <c r="U1034" i="3"/>
  <c r="K1034" i="3"/>
  <c r="E1034" i="3"/>
  <c r="B1034" i="3"/>
  <c r="U1033" i="3"/>
  <c r="K1033" i="3"/>
  <c r="E1033" i="3"/>
  <c r="B1033" i="3"/>
  <c r="U1032" i="3"/>
  <c r="K1032" i="3"/>
  <c r="E1032" i="3"/>
  <c r="B1032" i="3"/>
  <c r="U1031" i="3"/>
  <c r="K1031" i="3"/>
  <c r="E1031" i="3"/>
  <c r="B1031" i="3"/>
  <c r="U1030" i="3"/>
  <c r="K1030" i="3"/>
  <c r="E1030" i="3"/>
  <c r="B1030" i="3"/>
  <c r="U1029" i="3"/>
  <c r="K1029" i="3"/>
  <c r="E1029" i="3"/>
  <c r="B1029" i="3"/>
  <c r="U1028" i="3"/>
  <c r="K1028" i="3"/>
  <c r="E1028" i="3"/>
  <c r="B1028" i="3"/>
  <c r="U1027" i="3"/>
  <c r="K1027" i="3"/>
  <c r="E1027" i="3"/>
  <c r="B1027" i="3"/>
  <c r="U1026" i="3"/>
  <c r="K1026" i="3"/>
  <c r="E1026" i="3"/>
  <c r="B1026" i="3"/>
  <c r="U1025" i="3"/>
  <c r="K1025" i="3"/>
  <c r="E1025" i="3"/>
  <c r="B1025" i="3"/>
  <c r="U1024" i="3"/>
  <c r="K1024" i="3"/>
  <c r="E1024" i="3"/>
  <c r="B1024" i="3"/>
  <c r="U1023" i="3"/>
  <c r="K1023" i="3"/>
  <c r="E1023" i="3"/>
  <c r="B1023" i="3"/>
  <c r="U1022" i="3"/>
  <c r="K1022" i="3"/>
  <c r="E1022" i="3"/>
  <c r="B1022" i="3"/>
  <c r="U1021" i="3"/>
  <c r="K1021" i="3"/>
  <c r="E1021" i="3"/>
  <c r="B1021" i="3"/>
  <c r="U1020" i="3"/>
  <c r="K1020" i="3"/>
  <c r="E1020" i="3"/>
  <c r="B1020" i="3"/>
  <c r="U1019" i="3"/>
  <c r="K1019" i="3"/>
  <c r="E1019" i="3"/>
  <c r="B1019" i="3"/>
  <c r="U1018" i="3"/>
  <c r="K1018" i="3"/>
  <c r="E1018" i="3"/>
  <c r="B1018" i="3"/>
  <c r="U1017" i="3"/>
  <c r="K1017" i="3"/>
  <c r="E1017" i="3"/>
  <c r="B1017" i="3"/>
  <c r="U1016" i="3"/>
  <c r="K1016" i="3"/>
  <c r="E1016" i="3"/>
  <c r="B1016" i="3"/>
  <c r="U1015" i="3"/>
  <c r="K1015" i="3"/>
  <c r="E1015" i="3"/>
  <c r="B1015" i="3"/>
  <c r="U1014" i="3"/>
  <c r="K1014" i="3"/>
  <c r="E1014" i="3"/>
  <c r="B1014" i="3"/>
  <c r="U1013" i="3"/>
  <c r="K1013" i="3"/>
  <c r="E1013" i="3"/>
  <c r="B1013" i="3"/>
  <c r="U1012" i="3"/>
  <c r="K1012" i="3"/>
  <c r="E1012" i="3"/>
  <c r="B1012" i="3"/>
  <c r="U1011" i="3"/>
  <c r="K1011" i="3"/>
  <c r="E1011" i="3"/>
  <c r="B1011" i="3"/>
  <c r="U1010" i="3"/>
  <c r="K1010" i="3"/>
  <c r="E1010" i="3"/>
  <c r="B1010" i="3"/>
  <c r="U1009" i="3"/>
  <c r="K1009" i="3"/>
  <c r="E1009" i="3"/>
  <c r="B1009" i="3"/>
  <c r="U1008" i="3"/>
  <c r="K1008" i="3"/>
  <c r="E1008" i="3"/>
  <c r="B1008" i="3"/>
  <c r="U1007" i="3"/>
  <c r="K1007" i="3"/>
  <c r="E1007" i="3"/>
  <c r="B1007" i="3"/>
  <c r="U1006" i="3"/>
  <c r="K1006" i="3"/>
  <c r="E1006" i="3"/>
  <c r="B1006" i="3"/>
  <c r="U1005" i="3"/>
  <c r="K1005" i="3"/>
  <c r="E1005" i="3"/>
  <c r="B1005" i="3"/>
  <c r="U1004" i="3"/>
  <c r="K1004" i="3"/>
  <c r="E1004" i="3"/>
  <c r="B1004" i="3"/>
  <c r="U1003" i="3"/>
  <c r="K1003" i="3"/>
  <c r="E1003" i="3"/>
  <c r="B1003" i="3"/>
  <c r="U1002" i="3"/>
  <c r="K1002" i="3"/>
  <c r="E1002" i="3"/>
  <c r="B1002" i="3"/>
  <c r="U1001" i="3"/>
  <c r="K1001" i="3"/>
  <c r="E1001" i="3"/>
  <c r="B1001" i="3"/>
  <c r="U1000" i="3"/>
  <c r="K1000" i="3"/>
  <c r="E1000" i="3"/>
  <c r="B1000" i="3"/>
  <c r="U999" i="3"/>
  <c r="K999" i="3"/>
  <c r="E999" i="3"/>
  <c r="B999" i="3"/>
  <c r="U998" i="3"/>
  <c r="K998" i="3"/>
  <c r="E998" i="3"/>
  <c r="B998" i="3"/>
  <c r="U997" i="3"/>
  <c r="K997" i="3"/>
  <c r="E997" i="3"/>
  <c r="B997" i="3"/>
  <c r="U996" i="3"/>
  <c r="K996" i="3"/>
  <c r="E996" i="3"/>
  <c r="B996" i="3"/>
  <c r="U995" i="3"/>
  <c r="K995" i="3"/>
  <c r="E995" i="3"/>
  <c r="B995" i="3"/>
  <c r="U994" i="3"/>
  <c r="K994" i="3"/>
  <c r="E994" i="3"/>
  <c r="B994" i="3"/>
  <c r="U993" i="3"/>
  <c r="K993" i="3"/>
  <c r="E993" i="3"/>
  <c r="B993" i="3"/>
  <c r="U992" i="3"/>
  <c r="K992" i="3"/>
  <c r="E992" i="3"/>
  <c r="B992" i="3"/>
  <c r="U991" i="3"/>
  <c r="K991" i="3"/>
  <c r="E991" i="3"/>
  <c r="B991" i="3"/>
  <c r="U990" i="3"/>
  <c r="K990" i="3"/>
  <c r="E990" i="3"/>
  <c r="B990" i="3"/>
  <c r="U989" i="3"/>
  <c r="K989" i="3"/>
  <c r="E989" i="3"/>
  <c r="B989" i="3"/>
  <c r="U988" i="3"/>
  <c r="K988" i="3"/>
  <c r="E988" i="3"/>
  <c r="B988" i="3"/>
  <c r="U987" i="3"/>
  <c r="K987" i="3"/>
  <c r="E987" i="3"/>
  <c r="B987" i="3"/>
  <c r="U986" i="3"/>
  <c r="K986" i="3"/>
  <c r="E986" i="3"/>
  <c r="B986" i="3"/>
  <c r="U985" i="3"/>
  <c r="K985" i="3"/>
  <c r="E985" i="3"/>
  <c r="B985" i="3"/>
  <c r="U984" i="3"/>
  <c r="K984" i="3"/>
  <c r="E984" i="3"/>
  <c r="B984" i="3"/>
  <c r="U983" i="3"/>
  <c r="K983" i="3"/>
  <c r="E983" i="3"/>
  <c r="B983" i="3"/>
  <c r="U982" i="3"/>
  <c r="K982" i="3"/>
  <c r="E982" i="3"/>
  <c r="B982" i="3"/>
  <c r="U981" i="3"/>
  <c r="K981" i="3"/>
  <c r="E981" i="3"/>
  <c r="B981" i="3"/>
  <c r="U980" i="3"/>
  <c r="K980" i="3"/>
  <c r="E980" i="3"/>
  <c r="B980" i="3"/>
  <c r="U979" i="3"/>
  <c r="K979" i="3"/>
  <c r="E979" i="3"/>
  <c r="B979" i="3"/>
  <c r="U978" i="3"/>
  <c r="K978" i="3"/>
  <c r="E978" i="3"/>
  <c r="B978" i="3"/>
  <c r="U977" i="3"/>
  <c r="K977" i="3"/>
  <c r="E977" i="3"/>
  <c r="B977" i="3"/>
  <c r="U976" i="3"/>
  <c r="K976" i="3"/>
  <c r="E976" i="3"/>
  <c r="B976" i="3"/>
  <c r="U975" i="3"/>
  <c r="K975" i="3"/>
  <c r="E975" i="3"/>
  <c r="B975" i="3"/>
  <c r="U974" i="3"/>
  <c r="K974" i="3"/>
  <c r="E974" i="3"/>
  <c r="B974" i="3"/>
  <c r="U973" i="3"/>
  <c r="K973" i="3"/>
  <c r="E973" i="3"/>
  <c r="B973" i="3"/>
  <c r="U972" i="3"/>
  <c r="K972" i="3"/>
  <c r="E972" i="3"/>
  <c r="B972" i="3"/>
  <c r="U971" i="3"/>
  <c r="K971" i="3"/>
  <c r="E971" i="3"/>
  <c r="B971" i="3"/>
  <c r="U970" i="3"/>
  <c r="K970" i="3"/>
  <c r="E970" i="3"/>
  <c r="B970" i="3"/>
  <c r="U969" i="3"/>
  <c r="K969" i="3"/>
  <c r="E969" i="3"/>
  <c r="B969" i="3"/>
  <c r="U968" i="3"/>
  <c r="K968" i="3"/>
  <c r="E968" i="3"/>
  <c r="B968" i="3"/>
  <c r="U967" i="3"/>
  <c r="K967" i="3"/>
  <c r="E967" i="3"/>
  <c r="B967" i="3"/>
  <c r="K966" i="3"/>
  <c r="E966" i="3"/>
  <c r="B966" i="3"/>
  <c r="U965" i="3"/>
  <c r="K965" i="3"/>
  <c r="E965" i="3"/>
  <c r="B965" i="3"/>
  <c r="U964" i="3"/>
  <c r="K964" i="3"/>
  <c r="E964" i="3"/>
  <c r="B964" i="3"/>
  <c r="U963" i="3"/>
  <c r="K963" i="3"/>
  <c r="E963" i="3"/>
  <c r="B963" i="3"/>
  <c r="U962" i="3"/>
  <c r="K962" i="3"/>
  <c r="E962" i="3"/>
  <c r="B962" i="3"/>
  <c r="U961" i="3"/>
  <c r="K961" i="3"/>
  <c r="E961" i="3"/>
  <c r="B961" i="3"/>
  <c r="U960" i="3"/>
  <c r="K960" i="3"/>
  <c r="E960" i="3"/>
  <c r="B960" i="3"/>
  <c r="U959" i="3"/>
  <c r="K959" i="3"/>
  <c r="E959" i="3"/>
  <c r="B959" i="3"/>
  <c r="U958" i="3"/>
  <c r="K958" i="3"/>
  <c r="E958" i="3"/>
  <c r="B958" i="3"/>
  <c r="U957" i="3"/>
  <c r="K957" i="3"/>
  <c r="E957" i="3"/>
  <c r="B957" i="3"/>
  <c r="U956" i="3"/>
  <c r="K956" i="3"/>
  <c r="E956" i="3"/>
  <c r="B956" i="3"/>
  <c r="U955" i="3"/>
  <c r="K955" i="3"/>
  <c r="E955" i="3"/>
  <c r="B955" i="3"/>
  <c r="U954" i="3"/>
  <c r="K954" i="3"/>
  <c r="E954" i="3"/>
  <c r="B954" i="3"/>
  <c r="U953" i="3"/>
  <c r="K953" i="3"/>
  <c r="E953" i="3"/>
  <c r="B953" i="3"/>
  <c r="U952" i="3"/>
  <c r="K952" i="3"/>
  <c r="E952" i="3"/>
  <c r="B952" i="3"/>
  <c r="U951" i="3"/>
  <c r="K951" i="3"/>
  <c r="E951" i="3"/>
  <c r="B951" i="3"/>
  <c r="U950" i="3"/>
  <c r="K950" i="3"/>
  <c r="E950" i="3"/>
  <c r="B950" i="3"/>
  <c r="U949" i="3"/>
  <c r="K949" i="3"/>
  <c r="E949" i="3"/>
  <c r="B949" i="3"/>
  <c r="U948" i="3"/>
  <c r="K948" i="3"/>
  <c r="E948" i="3"/>
  <c r="B948" i="3"/>
  <c r="U947" i="3"/>
  <c r="K947" i="3"/>
  <c r="E947" i="3"/>
  <c r="B947" i="3"/>
  <c r="U946" i="3"/>
  <c r="K946" i="3"/>
  <c r="E946" i="3"/>
  <c r="B946" i="3"/>
  <c r="U945" i="3"/>
  <c r="K945" i="3"/>
  <c r="E945" i="3"/>
  <c r="B945" i="3"/>
  <c r="U944" i="3"/>
  <c r="K944" i="3"/>
  <c r="E944" i="3"/>
  <c r="B944" i="3"/>
  <c r="U943" i="3"/>
  <c r="K943" i="3"/>
  <c r="E943" i="3"/>
  <c r="B943" i="3"/>
  <c r="U942" i="3"/>
  <c r="K942" i="3"/>
  <c r="E942" i="3"/>
  <c r="B942" i="3"/>
  <c r="K941" i="3"/>
  <c r="E941" i="3"/>
  <c r="B941" i="3"/>
  <c r="U940" i="3"/>
  <c r="K940" i="3"/>
  <c r="E940" i="3"/>
  <c r="B940" i="3"/>
  <c r="U939" i="3"/>
  <c r="K939" i="3"/>
  <c r="E939" i="3"/>
  <c r="B939" i="3"/>
  <c r="U938" i="3"/>
  <c r="K938" i="3"/>
  <c r="E938" i="3"/>
  <c r="B938" i="3"/>
  <c r="U937" i="3"/>
  <c r="K937" i="3"/>
  <c r="E937" i="3"/>
  <c r="B937" i="3"/>
  <c r="U936" i="3"/>
  <c r="K936" i="3"/>
  <c r="E936" i="3"/>
  <c r="B936" i="3"/>
  <c r="U935" i="3"/>
  <c r="K935" i="3"/>
  <c r="E935" i="3"/>
  <c r="B935" i="3"/>
  <c r="U934" i="3"/>
  <c r="K934" i="3"/>
  <c r="E934" i="3"/>
  <c r="B934" i="3"/>
  <c r="U933" i="3"/>
  <c r="K933" i="3"/>
  <c r="E933" i="3"/>
  <c r="B933" i="3"/>
  <c r="U932" i="3"/>
  <c r="K932" i="3"/>
  <c r="E932" i="3"/>
  <c r="B932" i="3"/>
  <c r="U931" i="3"/>
  <c r="K931" i="3"/>
  <c r="E931" i="3"/>
  <c r="B931" i="3"/>
  <c r="U930" i="3"/>
  <c r="K930" i="3"/>
  <c r="E930" i="3"/>
  <c r="B930" i="3"/>
  <c r="U929" i="3"/>
  <c r="K929" i="3"/>
  <c r="E929" i="3"/>
  <c r="B929" i="3"/>
  <c r="U928" i="3"/>
  <c r="K928" i="3"/>
  <c r="E928" i="3"/>
  <c r="B928" i="3"/>
  <c r="U927" i="3"/>
  <c r="K927" i="3"/>
  <c r="E927" i="3"/>
  <c r="B927" i="3"/>
  <c r="U926" i="3"/>
  <c r="K926" i="3"/>
  <c r="E926" i="3"/>
  <c r="B926" i="3"/>
  <c r="U925" i="3"/>
  <c r="K925" i="3"/>
  <c r="E925" i="3"/>
  <c r="B925" i="3"/>
  <c r="U924" i="3"/>
  <c r="K924" i="3"/>
  <c r="E924" i="3"/>
  <c r="B924" i="3"/>
  <c r="U923" i="3"/>
  <c r="K923" i="3"/>
  <c r="E923" i="3"/>
  <c r="B923" i="3"/>
  <c r="U922" i="3"/>
  <c r="K922" i="3"/>
  <c r="E922" i="3"/>
  <c r="B922" i="3"/>
  <c r="U921" i="3"/>
  <c r="K921" i="3"/>
  <c r="E921" i="3"/>
  <c r="B921" i="3"/>
  <c r="U920" i="3"/>
  <c r="K920" i="3"/>
  <c r="E920" i="3"/>
  <c r="B920" i="3"/>
  <c r="U919" i="3"/>
  <c r="K919" i="3"/>
  <c r="E919" i="3"/>
  <c r="B919" i="3"/>
  <c r="U918" i="3"/>
  <c r="K918" i="3"/>
  <c r="E918" i="3"/>
  <c r="B918" i="3"/>
  <c r="U917" i="3"/>
  <c r="K917" i="3"/>
  <c r="E917" i="3"/>
  <c r="B917" i="3"/>
  <c r="U916" i="3"/>
  <c r="K916" i="3"/>
  <c r="E916" i="3"/>
  <c r="B916" i="3"/>
  <c r="U915" i="3"/>
  <c r="K915" i="3"/>
  <c r="E915" i="3"/>
  <c r="B915" i="3"/>
  <c r="U914" i="3"/>
  <c r="K914" i="3"/>
  <c r="E914" i="3"/>
  <c r="B914" i="3"/>
  <c r="U913" i="3"/>
  <c r="K913" i="3"/>
  <c r="E913" i="3"/>
  <c r="B913" i="3"/>
  <c r="U912" i="3"/>
  <c r="K912" i="3"/>
  <c r="E912" i="3"/>
  <c r="B912" i="3"/>
  <c r="U911" i="3"/>
  <c r="K911" i="3"/>
  <c r="E911" i="3"/>
  <c r="B911" i="3"/>
  <c r="U910" i="3"/>
  <c r="K910" i="3"/>
  <c r="E910" i="3"/>
  <c r="B910" i="3"/>
  <c r="U909" i="3"/>
  <c r="K909" i="3"/>
  <c r="E909" i="3"/>
  <c r="B909" i="3"/>
  <c r="U908" i="3"/>
  <c r="K908" i="3"/>
  <c r="E908" i="3"/>
  <c r="B908" i="3"/>
  <c r="U907" i="3"/>
  <c r="K907" i="3"/>
  <c r="E907" i="3"/>
  <c r="B907" i="3"/>
  <c r="U906" i="3"/>
  <c r="K906" i="3"/>
  <c r="E906" i="3"/>
  <c r="B906" i="3"/>
  <c r="U905" i="3"/>
  <c r="K905" i="3"/>
  <c r="E905" i="3"/>
  <c r="B905" i="3"/>
  <c r="U904" i="3"/>
  <c r="K904" i="3"/>
  <c r="E904" i="3"/>
  <c r="B904" i="3"/>
  <c r="U903" i="3"/>
  <c r="K903" i="3"/>
  <c r="E903" i="3"/>
  <c r="B903" i="3"/>
  <c r="U902" i="3"/>
  <c r="K902" i="3"/>
  <c r="E902" i="3"/>
  <c r="B902" i="3"/>
  <c r="U901" i="3"/>
  <c r="K901" i="3"/>
  <c r="E901" i="3"/>
  <c r="B901" i="3"/>
  <c r="U900" i="3"/>
  <c r="K900" i="3"/>
  <c r="E900" i="3"/>
  <c r="B900" i="3"/>
  <c r="U899" i="3"/>
  <c r="K899" i="3"/>
  <c r="E899" i="3"/>
  <c r="B899" i="3"/>
  <c r="U898" i="3"/>
  <c r="K898" i="3"/>
  <c r="E898" i="3"/>
  <c r="B898" i="3"/>
  <c r="U897" i="3"/>
  <c r="K897" i="3"/>
  <c r="E897" i="3"/>
  <c r="B897" i="3"/>
  <c r="U896" i="3"/>
  <c r="K896" i="3"/>
  <c r="E896" i="3"/>
  <c r="B896" i="3"/>
  <c r="U895" i="3"/>
  <c r="K895" i="3"/>
  <c r="E895" i="3"/>
  <c r="B895" i="3"/>
  <c r="U894" i="3"/>
  <c r="K894" i="3"/>
  <c r="E894" i="3"/>
  <c r="B894" i="3"/>
  <c r="U893" i="3"/>
  <c r="K893" i="3"/>
  <c r="E893" i="3"/>
  <c r="B893" i="3"/>
  <c r="U892" i="3"/>
  <c r="K892" i="3"/>
  <c r="E892" i="3"/>
  <c r="B892" i="3"/>
  <c r="U891" i="3"/>
  <c r="K891" i="3"/>
  <c r="E891" i="3"/>
  <c r="B891" i="3"/>
  <c r="U890" i="3"/>
  <c r="K890" i="3"/>
  <c r="E890" i="3"/>
  <c r="B890" i="3"/>
  <c r="U889" i="3"/>
  <c r="K889" i="3"/>
  <c r="E889" i="3"/>
  <c r="B889" i="3"/>
  <c r="U888" i="3"/>
  <c r="K888" i="3"/>
  <c r="E888" i="3"/>
  <c r="B888" i="3"/>
  <c r="U887" i="3"/>
  <c r="K887" i="3"/>
  <c r="E887" i="3"/>
  <c r="B887" i="3"/>
  <c r="U886" i="3"/>
  <c r="K886" i="3"/>
  <c r="E886" i="3"/>
  <c r="B886" i="3"/>
  <c r="U885" i="3"/>
  <c r="K885" i="3"/>
  <c r="E885" i="3"/>
  <c r="B885" i="3"/>
  <c r="U884" i="3"/>
  <c r="K884" i="3"/>
  <c r="E884" i="3"/>
  <c r="B884" i="3"/>
  <c r="U883" i="3"/>
  <c r="K883" i="3"/>
  <c r="E883" i="3"/>
  <c r="B883" i="3"/>
  <c r="U882" i="3"/>
  <c r="K882" i="3"/>
  <c r="E882" i="3"/>
  <c r="B882" i="3"/>
  <c r="U881" i="3"/>
  <c r="K881" i="3"/>
  <c r="E881" i="3"/>
  <c r="B881" i="3"/>
  <c r="U880" i="3"/>
  <c r="K880" i="3"/>
  <c r="E880" i="3"/>
  <c r="B880" i="3"/>
  <c r="U879" i="3"/>
  <c r="K879" i="3"/>
  <c r="E879" i="3"/>
  <c r="B879" i="3"/>
  <c r="U878" i="3"/>
  <c r="K878" i="3"/>
  <c r="E878" i="3"/>
  <c r="B878" i="3"/>
  <c r="U877" i="3"/>
  <c r="K877" i="3"/>
  <c r="E877" i="3"/>
  <c r="B877" i="3"/>
  <c r="U876" i="3"/>
  <c r="K876" i="3"/>
  <c r="E876" i="3"/>
  <c r="B876" i="3"/>
  <c r="U875" i="3"/>
  <c r="K875" i="3"/>
  <c r="E875" i="3"/>
  <c r="B875" i="3"/>
  <c r="U874" i="3"/>
  <c r="K874" i="3"/>
  <c r="E874" i="3"/>
  <c r="B874" i="3"/>
  <c r="U873" i="3"/>
  <c r="K873" i="3"/>
  <c r="E873" i="3"/>
  <c r="B873" i="3"/>
  <c r="U872" i="3"/>
  <c r="K872" i="3"/>
  <c r="E872" i="3"/>
  <c r="B872" i="3"/>
  <c r="U871" i="3"/>
  <c r="K871" i="3"/>
  <c r="E871" i="3"/>
  <c r="B871" i="3"/>
  <c r="U870" i="3"/>
  <c r="K870" i="3"/>
  <c r="E870" i="3"/>
  <c r="B870" i="3"/>
  <c r="U869" i="3"/>
  <c r="K869" i="3"/>
  <c r="E869" i="3"/>
  <c r="B869" i="3"/>
  <c r="U868" i="3"/>
  <c r="K868" i="3"/>
  <c r="E868" i="3"/>
  <c r="B868" i="3"/>
  <c r="U867" i="3"/>
  <c r="K867" i="3"/>
  <c r="E867" i="3"/>
  <c r="B867" i="3"/>
  <c r="U866" i="3"/>
  <c r="K866" i="3"/>
  <c r="E866" i="3"/>
  <c r="B866" i="3"/>
  <c r="U865" i="3"/>
  <c r="K865" i="3"/>
  <c r="E865" i="3"/>
  <c r="B865" i="3"/>
  <c r="U864" i="3"/>
  <c r="K864" i="3"/>
  <c r="E864" i="3"/>
  <c r="B864" i="3"/>
  <c r="U863" i="3"/>
  <c r="K863" i="3"/>
  <c r="E863" i="3"/>
  <c r="B863" i="3"/>
  <c r="U862" i="3"/>
  <c r="K862" i="3"/>
  <c r="E862" i="3"/>
  <c r="B862" i="3"/>
  <c r="U861" i="3"/>
  <c r="K861" i="3"/>
  <c r="E861" i="3"/>
  <c r="B861" i="3"/>
  <c r="U860" i="3"/>
  <c r="K860" i="3"/>
  <c r="E860" i="3"/>
  <c r="B860" i="3"/>
  <c r="U859" i="3"/>
  <c r="K859" i="3"/>
  <c r="E859" i="3"/>
  <c r="B859" i="3"/>
  <c r="U858" i="3"/>
  <c r="K858" i="3"/>
  <c r="E858" i="3"/>
  <c r="B858" i="3"/>
  <c r="U857" i="3"/>
  <c r="K857" i="3"/>
  <c r="E857" i="3"/>
  <c r="B857" i="3"/>
  <c r="U856" i="3"/>
  <c r="K856" i="3"/>
  <c r="E856" i="3"/>
  <c r="B856" i="3"/>
  <c r="U855" i="3"/>
  <c r="K855" i="3"/>
  <c r="E855" i="3"/>
  <c r="B855" i="3"/>
  <c r="U854" i="3"/>
  <c r="K854" i="3"/>
  <c r="E854" i="3"/>
  <c r="B854" i="3"/>
  <c r="U853" i="3"/>
  <c r="K853" i="3"/>
  <c r="E853" i="3"/>
  <c r="B853" i="3"/>
  <c r="U852" i="3"/>
  <c r="K852" i="3"/>
  <c r="E852" i="3"/>
  <c r="B852" i="3"/>
  <c r="U851" i="3"/>
  <c r="K851" i="3"/>
  <c r="E851" i="3"/>
  <c r="B851" i="3"/>
  <c r="U850" i="3"/>
  <c r="K850" i="3"/>
  <c r="E850" i="3"/>
  <c r="B850" i="3"/>
  <c r="U849" i="3"/>
  <c r="K849" i="3"/>
  <c r="E849" i="3"/>
  <c r="B849" i="3"/>
  <c r="U848" i="3"/>
  <c r="K848" i="3"/>
  <c r="E848" i="3"/>
  <c r="B848" i="3"/>
  <c r="U847" i="3"/>
  <c r="K847" i="3"/>
  <c r="E847" i="3"/>
  <c r="B847" i="3"/>
  <c r="U846" i="3"/>
  <c r="K846" i="3"/>
  <c r="E846" i="3"/>
  <c r="B846" i="3"/>
  <c r="U845" i="3"/>
  <c r="K845" i="3"/>
  <c r="E845" i="3"/>
  <c r="B845" i="3"/>
  <c r="U844" i="3"/>
  <c r="K844" i="3"/>
  <c r="E844" i="3"/>
  <c r="B844" i="3"/>
  <c r="U843" i="3"/>
  <c r="K843" i="3"/>
  <c r="E843" i="3"/>
  <c r="B843" i="3"/>
  <c r="U842" i="3"/>
  <c r="K842" i="3"/>
  <c r="E842" i="3"/>
  <c r="B842" i="3"/>
  <c r="U841" i="3"/>
  <c r="K841" i="3"/>
  <c r="E841" i="3"/>
  <c r="B841" i="3"/>
  <c r="U840" i="3"/>
  <c r="K840" i="3"/>
  <c r="E840" i="3"/>
  <c r="B840" i="3"/>
  <c r="U839" i="3"/>
  <c r="K839" i="3"/>
  <c r="E839" i="3"/>
  <c r="B839" i="3"/>
  <c r="U838" i="3"/>
  <c r="K838" i="3"/>
  <c r="E838" i="3"/>
  <c r="B838" i="3"/>
  <c r="U837" i="3"/>
  <c r="K837" i="3"/>
  <c r="E837" i="3"/>
  <c r="B837" i="3"/>
  <c r="U836" i="3"/>
  <c r="K836" i="3"/>
  <c r="E836" i="3"/>
  <c r="B836" i="3"/>
  <c r="U835" i="3"/>
  <c r="K835" i="3"/>
  <c r="E835" i="3"/>
  <c r="B835" i="3"/>
  <c r="U834" i="3"/>
  <c r="K834" i="3"/>
  <c r="E834" i="3"/>
  <c r="B834" i="3"/>
  <c r="U833" i="3"/>
  <c r="K833" i="3"/>
  <c r="E833" i="3"/>
  <c r="B833" i="3"/>
  <c r="U832" i="3"/>
  <c r="K832" i="3"/>
  <c r="E832" i="3"/>
  <c r="B832" i="3"/>
  <c r="U831" i="3"/>
  <c r="K831" i="3"/>
  <c r="E831" i="3"/>
  <c r="B831" i="3"/>
  <c r="U830" i="3"/>
  <c r="K830" i="3"/>
  <c r="E830" i="3"/>
  <c r="B830" i="3"/>
  <c r="U829" i="3"/>
  <c r="K829" i="3"/>
  <c r="E829" i="3"/>
  <c r="B829" i="3"/>
  <c r="U828" i="3"/>
  <c r="K828" i="3"/>
  <c r="E828" i="3"/>
  <c r="B828" i="3"/>
  <c r="U827" i="3"/>
  <c r="K827" i="3"/>
  <c r="E827" i="3"/>
  <c r="B827" i="3"/>
  <c r="U826" i="3"/>
  <c r="K826" i="3"/>
  <c r="E826" i="3"/>
  <c r="B826" i="3"/>
  <c r="U825" i="3"/>
  <c r="K825" i="3"/>
  <c r="E825" i="3"/>
  <c r="B825" i="3"/>
  <c r="U824" i="3"/>
  <c r="K824" i="3"/>
  <c r="E824" i="3"/>
  <c r="B824" i="3"/>
  <c r="U823" i="3"/>
  <c r="K823" i="3"/>
  <c r="E823" i="3"/>
  <c r="B823" i="3"/>
  <c r="U822" i="3"/>
  <c r="K822" i="3"/>
  <c r="E822" i="3"/>
  <c r="B822" i="3"/>
  <c r="U821" i="3"/>
  <c r="K821" i="3"/>
  <c r="E821" i="3"/>
  <c r="B821" i="3"/>
  <c r="U820" i="3"/>
  <c r="K820" i="3"/>
  <c r="E820" i="3"/>
  <c r="B820" i="3"/>
  <c r="U819" i="3"/>
  <c r="K819" i="3"/>
  <c r="E819" i="3"/>
  <c r="B819" i="3"/>
  <c r="U818" i="3"/>
  <c r="K818" i="3"/>
  <c r="E818" i="3"/>
  <c r="B818" i="3"/>
  <c r="U817" i="3"/>
  <c r="K817" i="3"/>
  <c r="E817" i="3"/>
  <c r="B817" i="3"/>
  <c r="U816" i="3"/>
  <c r="K816" i="3"/>
  <c r="E816" i="3"/>
  <c r="B816" i="3"/>
  <c r="U815" i="3"/>
  <c r="K815" i="3"/>
  <c r="E815" i="3"/>
  <c r="B815" i="3"/>
  <c r="U814" i="3"/>
  <c r="K814" i="3"/>
  <c r="E814" i="3"/>
  <c r="B814" i="3"/>
  <c r="U813" i="3"/>
  <c r="K813" i="3"/>
  <c r="E813" i="3"/>
  <c r="B813" i="3"/>
  <c r="U812" i="3"/>
  <c r="K812" i="3"/>
  <c r="E812" i="3"/>
  <c r="B812" i="3"/>
  <c r="U811" i="3"/>
  <c r="K811" i="3"/>
  <c r="E811" i="3"/>
  <c r="B811" i="3"/>
  <c r="U810" i="3"/>
  <c r="K810" i="3"/>
  <c r="E810" i="3"/>
  <c r="B810" i="3"/>
  <c r="U809" i="3"/>
  <c r="K809" i="3"/>
  <c r="E809" i="3"/>
  <c r="B809" i="3"/>
  <c r="U808" i="3"/>
  <c r="K808" i="3"/>
  <c r="E808" i="3"/>
  <c r="B808" i="3"/>
  <c r="U807" i="3"/>
  <c r="K807" i="3"/>
  <c r="E807" i="3"/>
  <c r="B807" i="3"/>
  <c r="U806" i="3"/>
  <c r="K806" i="3"/>
  <c r="E806" i="3"/>
  <c r="B806" i="3"/>
  <c r="U805" i="3"/>
  <c r="K805" i="3"/>
  <c r="E805" i="3"/>
  <c r="B805" i="3"/>
  <c r="U804" i="3"/>
  <c r="K804" i="3"/>
  <c r="E804" i="3"/>
  <c r="B804" i="3"/>
  <c r="U803" i="3"/>
  <c r="K803" i="3"/>
  <c r="E803" i="3"/>
  <c r="B803" i="3"/>
  <c r="U802" i="3"/>
  <c r="K802" i="3"/>
  <c r="E802" i="3"/>
  <c r="B802" i="3"/>
  <c r="U801" i="3"/>
  <c r="K801" i="3"/>
  <c r="E801" i="3"/>
  <c r="B801" i="3"/>
  <c r="U800" i="3"/>
  <c r="K800" i="3"/>
  <c r="E800" i="3"/>
  <c r="B800" i="3"/>
  <c r="U799" i="3"/>
  <c r="K799" i="3"/>
  <c r="E799" i="3"/>
  <c r="B799" i="3"/>
  <c r="U798" i="3"/>
  <c r="K798" i="3"/>
  <c r="E798" i="3"/>
  <c r="B798" i="3"/>
  <c r="U797" i="3"/>
  <c r="K797" i="3"/>
  <c r="E797" i="3"/>
  <c r="B797" i="3"/>
  <c r="U796" i="3"/>
  <c r="K796" i="3"/>
  <c r="E796" i="3"/>
  <c r="B796" i="3"/>
  <c r="U795" i="3"/>
  <c r="K795" i="3"/>
  <c r="E795" i="3"/>
  <c r="B795" i="3"/>
  <c r="U794" i="3"/>
  <c r="K794" i="3"/>
  <c r="E794" i="3"/>
  <c r="B794" i="3"/>
  <c r="U793" i="3"/>
  <c r="K793" i="3"/>
  <c r="E793" i="3"/>
  <c r="B793" i="3"/>
  <c r="U792" i="3"/>
  <c r="K792" i="3"/>
  <c r="E792" i="3"/>
  <c r="B792" i="3"/>
  <c r="U791" i="3"/>
  <c r="K791" i="3"/>
  <c r="E791" i="3"/>
  <c r="B791" i="3"/>
  <c r="U790" i="3"/>
  <c r="K790" i="3"/>
  <c r="E790" i="3"/>
  <c r="B790" i="3"/>
  <c r="U789" i="3"/>
  <c r="K789" i="3"/>
  <c r="E789" i="3"/>
  <c r="B789" i="3"/>
  <c r="U788" i="3"/>
  <c r="K788" i="3"/>
  <c r="E788" i="3"/>
  <c r="B788" i="3"/>
  <c r="U787" i="3"/>
  <c r="K787" i="3"/>
  <c r="E787" i="3"/>
  <c r="B787" i="3"/>
  <c r="U786" i="3"/>
  <c r="K786" i="3"/>
  <c r="E786" i="3"/>
  <c r="B786" i="3"/>
  <c r="U785" i="3"/>
  <c r="K785" i="3"/>
  <c r="E785" i="3"/>
  <c r="B785" i="3"/>
  <c r="U784" i="3"/>
  <c r="K784" i="3"/>
  <c r="E784" i="3"/>
  <c r="B784" i="3"/>
  <c r="U783" i="3"/>
  <c r="K783" i="3"/>
  <c r="E783" i="3"/>
  <c r="B783" i="3"/>
  <c r="U782" i="3"/>
  <c r="K782" i="3"/>
  <c r="E782" i="3"/>
  <c r="B782" i="3"/>
  <c r="U781" i="3"/>
  <c r="K781" i="3"/>
  <c r="E781" i="3"/>
  <c r="B781" i="3"/>
  <c r="U780" i="3"/>
  <c r="K780" i="3"/>
  <c r="E780" i="3"/>
  <c r="B780" i="3"/>
  <c r="U779" i="3"/>
  <c r="K779" i="3"/>
  <c r="E779" i="3"/>
  <c r="B779" i="3"/>
  <c r="U778" i="3"/>
  <c r="K778" i="3"/>
  <c r="E778" i="3"/>
  <c r="B778" i="3"/>
  <c r="U777" i="3"/>
  <c r="K777" i="3"/>
  <c r="E777" i="3"/>
  <c r="B777" i="3"/>
  <c r="U776" i="3"/>
  <c r="K776" i="3"/>
  <c r="E776" i="3"/>
  <c r="B776" i="3"/>
  <c r="U775" i="3"/>
  <c r="K775" i="3"/>
  <c r="E775" i="3"/>
  <c r="B775" i="3"/>
  <c r="U774" i="3"/>
  <c r="K774" i="3"/>
  <c r="E774" i="3"/>
  <c r="B774" i="3"/>
  <c r="U773" i="3"/>
  <c r="K773" i="3"/>
  <c r="E773" i="3"/>
  <c r="B773" i="3"/>
  <c r="U772" i="3"/>
  <c r="K772" i="3"/>
  <c r="E772" i="3"/>
  <c r="B772" i="3"/>
  <c r="U771" i="3"/>
  <c r="K771" i="3"/>
  <c r="E771" i="3"/>
  <c r="B771" i="3"/>
  <c r="U770" i="3"/>
  <c r="K770" i="3"/>
  <c r="E770" i="3"/>
  <c r="B770" i="3"/>
  <c r="U769" i="3"/>
  <c r="K769" i="3"/>
  <c r="E769" i="3"/>
  <c r="B769" i="3"/>
  <c r="U768" i="3"/>
  <c r="K768" i="3"/>
  <c r="E768" i="3"/>
  <c r="B768" i="3"/>
  <c r="U767" i="3"/>
  <c r="K767" i="3"/>
  <c r="E767" i="3"/>
  <c r="B767" i="3"/>
  <c r="U766" i="3"/>
  <c r="K766" i="3"/>
  <c r="E766" i="3"/>
  <c r="B766" i="3"/>
  <c r="U765" i="3"/>
  <c r="K765" i="3"/>
  <c r="E765" i="3"/>
  <c r="B765" i="3"/>
  <c r="U764" i="3"/>
  <c r="K764" i="3"/>
  <c r="E764" i="3"/>
  <c r="B764" i="3"/>
  <c r="U763" i="3"/>
  <c r="K763" i="3"/>
  <c r="E763" i="3"/>
  <c r="B763" i="3"/>
  <c r="U762" i="3"/>
  <c r="K762" i="3"/>
  <c r="E762" i="3"/>
  <c r="B762" i="3"/>
  <c r="U761" i="3"/>
  <c r="K761" i="3"/>
  <c r="E761" i="3"/>
  <c r="B761" i="3"/>
  <c r="U760" i="3"/>
  <c r="K760" i="3"/>
  <c r="E760" i="3"/>
  <c r="B760" i="3"/>
  <c r="U759" i="3"/>
  <c r="K759" i="3"/>
  <c r="E759" i="3"/>
  <c r="B759" i="3"/>
  <c r="U758" i="3"/>
  <c r="K758" i="3"/>
  <c r="E758" i="3"/>
  <c r="B758" i="3"/>
  <c r="U757" i="3"/>
  <c r="K757" i="3"/>
  <c r="E757" i="3"/>
  <c r="B757" i="3"/>
  <c r="U756" i="3"/>
  <c r="K756" i="3"/>
  <c r="E756" i="3"/>
  <c r="B756" i="3"/>
  <c r="U755" i="3"/>
  <c r="K755" i="3"/>
  <c r="E755" i="3"/>
  <c r="B755" i="3"/>
  <c r="U754" i="3"/>
  <c r="K754" i="3"/>
  <c r="E754" i="3"/>
  <c r="B754" i="3"/>
  <c r="U753" i="3"/>
  <c r="K753" i="3"/>
  <c r="E753" i="3"/>
  <c r="B753" i="3"/>
  <c r="U752" i="3"/>
  <c r="K752" i="3"/>
  <c r="E752" i="3"/>
  <c r="B752" i="3"/>
  <c r="U751" i="3"/>
  <c r="K751" i="3"/>
  <c r="E751" i="3"/>
  <c r="B751" i="3"/>
  <c r="U750" i="3"/>
  <c r="K750" i="3"/>
  <c r="E750" i="3"/>
  <c r="B750" i="3"/>
  <c r="U749" i="3"/>
  <c r="K749" i="3"/>
  <c r="E749" i="3"/>
  <c r="B749" i="3"/>
  <c r="U748" i="3"/>
  <c r="K748" i="3"/>
  <c r="E748" i="3"/>
  <c r="B748" i="3"/>
  <c r="U747" i="3"/>
  <c r="K747" i="3"/>
  <c r="E747" i="3"/>
  <c r="B747" i="3"/>
  <c r="U746" i="3"/>
  <c r="K746" i="3"/>
  <c r="E746" i="3"/>
  <c r="B746" i="3"/>
  <c r="U745" i="3"/>
  <c r="K745" i="3"/>
  <c r="E745" i="3"/>
  <c r="B745" i="3"/>
  <c r="U744" i="3"/>
  <c r="K744" i="3"/>
  <c r="E744" i="3"/>
  <c r="B744" i="3"/>
  <c r="K743" i="3"/>
  <c r="E743" i="3"/>
  <c r="B743" i="3"/>
  <c r="U742" i="3"/>
  <c r="K742" i="3"/>
  <c r="E742" i="3"/>
  <c r="B742" i="3"/>
  <c r="U741" i="3"/>
  <c r="K741" i="3"/>
  <c r="E741" i="3"/>
  <c r="B741" i="3"/>
  <c r="U740" i="3"/>
  <c r="K740" i="3"/>
  <c r="E740" i="3"/>
  <c r="B740" i="3"/>
  <c r="U739" i="3"/>
  <c r="K739" i="3"/>
  <c r="E739" i="3"/>
  <c r="B739" i="3"/>
  <c r="U738" i="3"/>
  <c r="K738" i="3"/>
  <c r="E738" i="3"/>
  <c r="B738" i="3"/>
  <c r="U737" i="3"/>
  <c r="K737" i="3"/>
  <c r="E737" i="3"/>
  <c r="B737" i="3"/>
  <c r="U736" i="3"/>
  <c r="K736" i="3"/>
  <c r="E736" i="3"/>
  <c r="B736" i="3"/>
  <c r="U735" i="3"/>
  <c r="K735" i="3"/>
  <c r="E735" i="3"/>
  <c r="B735" i="3"/>
  <c r="U734" i="3"/>
  <c r="K734" i="3"/>
  <c r="E734" i="3"/>
  <c r="B734" i="3"/>
  <c r="U733" i="3"/>
  <c r="K733" i="3"/>
  <c r="E733" i="3"/>
  <c r="B733" i="3"/>
  <c r="U732" i="3"/>
  <c r="K732" i="3"/>
  <c r="E732" i="3"/>
  <c r="B732" i="3"/>
  <c r="U731" i="3"/>
  <c r="K731" i="3"/>
  <c r="E731" i="3"/>
  <c r="B731" i="3"/>
  <c r="U730" i="3"/>
  <c r="K730" i="3"/>
  <c r="E730" i="3"/>
  <c r="B730" i="3"/>
  <c r="U729" i="3"/>
  <c r="K729" i="3"/>
  <c r="E729" i="3"/>
  <c r="B729" i="3"/>
  <c r="U728" i="3"/>
  <c r="K728" i="3"/>
  <c r="E728" i="3"/>
  <c r="B728" i="3"/>
  <c r="U727" i="3"/>
  <c r="K727" i="3"/>
  <c r="E727" i="3"/>
  <c r="B727" i="3"/>
  <c r="U726" i="3"/>
  <c r="K726" i="3"/>
  <c r="E726" i="3"/>
  <c r="B726" i="3"/>
  <c r="U725" i="3"/>
  <c r="K725" i="3"/>
  <c r="E725" i="3"/>
  <c r="B725" i="3"/>
  <c r="U724" i="3"/>
  <c r="K724" i="3"/>
  <c r="E724" i="3"/>
  <c r="B724" i="3"/>
  <c r="U723" i="3"/>
  <c r="K723" i="3"/>
  <c r="E723" i="3"/>
  <c r="B723" i="3"/>
  <c r="U722" i="3"/>
  <c r="K722" i="3"/>
  <c r="E722" i="3"/>
  <c r="B722" i="3"/>
  <c r="U721" i="3"/>
  <c r="K721" i="3"/>
  <c r="E721" i="3"/>
  <c r="B721" i="3"/>
  <c r="U720" i="3"/>
  <c r="K720" i="3"/>
  <c r="E720" i="3"/>
  <c r="B720" i="3"/>
  <c r="U719" i="3"/>
  <c r="K719" i="3"/>
  <c r="E719" i="3"/>
  <c r="B719" i="3"/>
  <c r="U718" i="3"/>
  <c r="K718" i="3"/>
  <c r="E718" i="3"/>
  <c r="B718" i="3"/>
  <c r="U717" i="3"/>
  <c r="K717" i="3"/>
  <c r="E717" i="3"/>
  <c r="B717" i="3"/>
  <c r="U716" i="3"/>
  <c r="K716" i="3"/>
  <c r="E716" i="3"/>
  <c r="B716" i="3"/>
  <c r="U715" i="3"/>
  <c r="K715" i="3"/>
  <c r="E715" i="3"/>
  <c r="B715" i="3"/>
  <c r="U714" i="3"/>
  <c r="K714" i="3"/>
  <c r="E714" i="3"/>
  <c r="B714" i="3"/>
  <c r="U713" i="3"/>
  <c r="K713" i="3"/>
  <c r="E713" i="3"/>
  <c r="B713" i="3"/>
  <c r="U712" i="3"/>
  <c r="K712" i="3"/>
  <c r="E712" i="3"/>
  <c r="B712" i="3"/>
  <c r="U711" i="3"/>
  <c r="K711" i="3"/>
  <c r="E711" i="3"/>
  <c r="B711" i="3"/>
  <c r="U710" i="3"/>
  <c r="K710" i="3"/>
  <c r="E710" i="3"/>
  <c r="B710" i="3"/>
  <c r="U709" i="3"/>
  <c r="K709" i="3"/>
  <c r="E709" i="3"/>
  <c r="B709" i="3"/>
  <c r="U708" i="3"/>
  <c r="K708" i="3"/>
  <c r="E708" i="3"/>
  <c r="B708" i="3"/>
  <c r="U707" i="3"/>
  <c r="K707" i="3"/>
  <c r="E707" i="3"/>
  <c r="B707" i="3"/>
  <c r="U706" i="3"/>
  <c r="K706" i="3"/>
  <c r="E706" i="3"/>
  <c r="B706" i="3"/>
  <c r="U705" i="3"/>
  <c r="K705" i="3"/>
  <c r="E705" i="3"/>
  <c r="B705" i="3"/>
  <c r="U704" i="3"/>
  <c r="K704" i="3"/>
  <c r="E704" i="3"/>
  <c r="B704" i="3"/>
  <c r="U703" i="3"/>
  <c r="K703" i="3"/>
  <c r="E703" i="3"/>
  <c r="B703" i="3"/>
  <c r="U702" i="3"/>
  <c r="K702" i="3"/>
  <c r="E702" i="3"/>
  <c r="B702" i="3"/>
  <c r="U701" i="3"/>
  <c r="K701" i="3"/>
  <c r="E701" i="3"/>
  <c r="B701" i="3"/>
  <c r="U700" i="3"/>
  <c r="K700" i="3"/>
  <c r="E700" i="3"/>
  <c r="B700" i="3"/>
  <c r="U699" i="3"/>
  <c r="K699" i="3"/>
  <c r="E699" i="3"/>
  <c r="B699" i="3"/>
  <c r="U698" i="3"/>
  <c r="K698" i="3"/>
  <c r="E698" i="3"/>
  <c r="B698" i="3"/>
  <c r="U697" i="3"/>
  <c r="K697" i="3"/>
  <c r="E697" i="3"/>
  <c r="B697" i="3"/>
  <c r="U696" i="3"/>
  <c r="K696" i="3"/>
  <c r="E696" i="3"/>
  <c r="B696" i="3"/>
  <c r="U695" i="3"/>
  <c r="K695" i="3"/>
  <c r="E695" i="3"/>
  <c r="B695" i="3"/>
  <c r="U694" i="3"/>
  <c r="K694" i="3"/>
  <c r="E694" i="3"/>
  <c r="B694" i="3"/>
  <c r="U693" i="3"/>
  <c r="K693" i="3"/>
  <c r="E693" i="3"/>
  <c r="B693" i="3"/>
  <c r="U692" i="3"/>
  <c r="K692" i="3"/>
  <c r="E692" i="3"/>
  <c r="B692" i="3"/>
  <c r="U691" i="3"/>
  <c r="K691" i="3"/>
  <c r="E691" i="3"/>
  <c r="B691" i="3"/>
  <c r="U690" i="3"/>
  <c r="K690" i="3"/>
  <c r="E690" i="3"/>
  <c r="B690" i="3"/>
  <c r="U689" i="3"/>
  <c r="K689" i="3"/>
  <c r="E689" i="3"/>
  <c r="B689" i="3"/>
  <c r="U688" i="3"/>
  <c r="K688" i="3"/>
  <c r="E688" i="3"/>
  <c r="B688" i="3"/>
  <c r="U687" i="3"/>
  <c r="K687" i="3"/>
  <c r="E687" i="3"/>
  <c r="B687" i="3"/>
  <c r="U686" i="3"/>
  <c r="K686" i="3"/>
  <c r="E686" i="3"/>
  <c r="B686" i="3"/>
  <c r="U685" i="3"/>
  <c r="K685" i="3"/>
  <c r="E685" i="3"/>
  <c r="B685" i="3"/>
  <c r="U684" i="3"/>
  <c r="K684" i="3"/>
  <c r="E684" i="3"/>
  <c r="B684" i="3"/>
  <c r="U683" i="3"/>
  <c r="K683" i="3"/>
  <c r="E683" i="3"/>
  <c r="B683" i="3"/>
  <c r="U682" i="3"/>
  <c r="K682" i="3"/>
  <c r="E682" i="3"/>
  <c r="B682" i="3"/>
  <c r="U681" i="3"/>
  <c r="K681" i="3"/>
  <c r="E681" i="3"/>
  <c r="B681" i="3"/>
  <c r="U680" i="3"/>
  <c r="K680" i="3"/>
  <c r="E680" i="3"/>
  <c r="B680" i="3"/>
  <c r="U679" i="3"/>
  <c r="K679" i="3"/>
  <c r="E679" i="3"/>
  <c r="B679" i="3"/>
  <c r="U678" i="3"/>
  <c r="K678" i="3"/>
  <c r="E678" i="3"/>
  <c r="B678" i="3"/>
  <c r="U677" i="3"/>
  <c r="K677" i="3"/>
  <c r="E677" i="3"/>
  <c r="B677" i="3"/>
  <c r="U676" i="3"/>
  <c r="K676" i="3"/>
  <c r="E676" i="3"/>
  <c r="B676" i="3"/>
  <c r="U675" i="3"/>
  <c r="K675" i="3"/>
  <c r="E675" i="3"/>
  <c r="B675" i="3"/>
  <c r="U674" i="3"/>
  <c r="K674" i="3"/>
  <c r="E674" i="3"/>
  <c r="B674" i="3"/>
  <c r="U673" i="3"/>
  <c r="K673" i="3"/>
  <c r="E673" i="3"/>
  <c r="B673" i="3"/>
  <c r="U672" i="3"/>
  <c r="K672" i="3"/>
  <c r="E672" i="3"/>
  <c r="B672" i="3"/>
  <c r="U671" i="3"/>
  <c r="K671" i="3"/>
  <c r="E671" i="3"/>
  <c r="B671" i="3"/>
  <c r="U670" i="3"/>
  <c r="K670" i="3"/>
  <c r="E670" i="3"/>
  <c r="B670" i="3"/>
  <c r="U669" i="3"/>
  <c r="K669" i="3"/>
  <c r="E669" i="3"/>
  <c r="B669" i="3"/>
  <c r="U668" i="3"/>
  <c r="K668" i="3"/>
  <c r="E668" i="3"/>
  <c r="B668" i="3"/>
  <c r="U667" i="3"/>
  <c r="K667" i="3"/>
  <c r="E667" i="3"/>
  <c r="B667" i="3"/>
  <c r="U666" i="3"/>
  <c r="K666" i="3"/>
  <c r="E666" i="3"/>
  <c r="B666" i="3"/>
  <c r="K665" i="3"/>
  <c r="E665" i="3"/>
  <c r="B665" i="3"/>
  <c r="U664" i="3"/>
  <c r="K664" i="3"/>
  <c r="E664" i="3"/>
  <c r="B664" i="3"/>
  <c r="U663" i="3"/>
  <c r="K663" i="3"/>
  <c r="E663" i="3"/>
  <c r="B663" i="3"/>
  <c r="U662" i="3"/>
  <c r="K662" i="3"/>
  <c r="E662" i="3"/>
  <c r="B662" i="3"/>
  <c r="U661" i="3"/>
  <c r="K661" i="3"/>
  <c r="E661" i="3"/>
  <c r="B661" i="3"/>
  <c r="K660" i="3"/>
  <c r="E660" i="3"/>
  <c r="B660" i="3"/>
  <c r="K659" i="3"/>
  <c r="E659" i="3"/>
  <c r="B659" i="3"/>
  <c r="U658" i="3"/>
  <c r="K658" i="3"/>
  <c r="E658" i="3"/>
  <c r="B658" i="3"/>
  <c r="U657" i="3"/>
  <c r="K657" i="3"/>
  <c r="E657" i="3"/>
  <c r="B657" i="3"/>
  <c r="U656" i="3"/>
  <c r="K656" i="3"/>
  <c r="E656" i="3"/>
  <c r="B656" i="3"/>
  <c r="U655" i="3"/>
  <c r="K655" i="3"/>
  <c r="E655" i="3"/>
  <c r="B655" i="3"/>
  <c r="U654" i="3"/>
  <c r="K654" i="3"/>
  <c r="E654" i="3"/>
  <c r="B654" i="3"/>
  <c r="K653" i="3"/>
  <c r="E653" i="3"/>
  <c r="B653" i="3"/>
  <c r="U652" i="3"/>
  <c r="K652" i="3"/>
  <c r="E652" i="3"/>
  <c r="B652" i="3"/>
  <c r="U651" i="3"/>
  <c r="K651" i="3"/>
  <c r="E651" i="3"/>
  <c r="B651" i="3"/>
  <c r="U650" i="3"/>
  <c r="K650" i="3"/>
  <c r="E650" i="3"/>
  <c r="B650" i="3"/>
  <c r="U649" i="3"/>
  <c r="K649" i="3"/>
  <c r="E649" i="3"/>
  <c r="B649" i="3"/>
  <c r="U648" i="3"/>
  <c r="K648" i="3"/>
  <c r="E648" i="3"/>
  <c r="B648" i="3"/>
  <c r="U647" i="3"/>
  <c r="K647" i="3"/>
  <c r="E647" i="3"/>
  <c r="B647" i="3"/>
  <c r="U646" i="3"/>
  <c r="K646" i="3"/>
  <c r="E646" i="3"/>
  <c r="B646" i="3"/>
  <c r="U645" i="3"/>
  <c r="K645" i="3"/>
  <c r="E645" i="3"/>
  <c r="B645" i="3"/>
  <c r="U644" i="3"/>
  <c r="K644" i="3"/>
  <c r="E644" i="3"/>
  <c r="B644" i="3"/>
  <c r="U643" i="3"/>
  <c r="K643" i="3"/>
  <c r="E643" i="3"/>
  <c r="B643" i="3"/>
  <c r="K642" i="3"/>
  <c r="E642" i="3"/>
  <c r="B642" i="3"/>
  <c r="U641" i="3"/>
  <c r="K641" i="3"/>
  <c r="E641" i="3"/>
  <c r="B641" i="3"/>
  <c r="U640" i="3"/>
  <c r="K640" i="3"/>
  <c r="E640" i="3"/>
  <c r="B640" i="3"/>
  <c r="U639" i="3"/>
  <c r="K639" i="3"/>
  <c r="E639" i="3"/>
  <c r="B639" i="3"/>
  <c r="U638" i="3"/>
  <c r="K638" i="3"/>
  <c r="E638" i="3"/>
  <c r="B638" i="3"/>
  <c r="U637" i="3"/>
  <c r="K637" i="3"/>
  <c r="E637" i="3"/>
  <c r="B637" i="3"/>
  <c r="U636" i="3"/>
  <c r="K636" i="3"/>
  <c r="E636" i="3"/>
  <c r="B636" i="3"/>
  <c r="U635" i="3"/>
  <c r="K635" i="3"/>
  <c r="E635" i="3"/>
  <c r="B635" i="3"/>
  <c r="U634" i="3"/>
  <c r="K634" i="3"/>
  <c r="E634" i="3"/>
  <c r="B634" i="3"/>
  <c r="U633" i="3"/>
  <c r="K633" i="3"/>
  <c r="E633" i="3"/>
  <c r="B633" i="3"/>
  <c r="U632" i="3"/>
  <c r="K632" i="3"/>
  <c r="E632" i="3"/>
  <c r="B632" i="3"/>
  <c r="U631" i="3"/>
  <c r="K631" i="3"/>
  <c r="E631" i="3"/>
  <c r="B631" i="3"/>
  <c r="U630" i="3"/>
  <c r="K630" i="3"/>
  <c r="E630" i="3"/>
  <c r="B630" i="3"/>
  <c r="U629" i="3"/>
  <c r="K629" i="3"/>
  <c r="E629" i="3"/>
  <c r="B629" i="3"/>
  <c r="U628" i="3"/>
  <c r="K628" i="3"/>
  <c r="E628" i="3"/>
  <c r="B628" i="3"/>
  <c r="U627" i="3"/>
  <c r="K627" i="3"/>
  <c r="E627" i="3"/>
  <c r="B627" i="3"/>
  <c r="U626" i="3"/>
  <c r="K626" i="3"/>
  <c r="E626" i="3"/>
  <c r="B626" i="3"/>
  <c r="U625" i="3"/>
  <c r="K625" i="3"/>
  <c r="E625" i="3"/>
  <c r="B625" i="3"/>
  <c r="U624" i="3"/>
  <c r="K624" i="3"/>
  <c r="E624" i="3"/>
  <c r="B624" i="3"/>
  <c r="U623" i="3"/>
  <c r="K623" i="3"/>
  <c r="E623" i="3"/>
  <c r="B623" i="3"/>
  <c r="U622" i="3"/>
  <c r="K622" i="3"/>
  <c r="E622" i="3"/>
  <c r="B622" i="3"/>
  <c r="U621" i="3"/>
  <c r="K621" i="3"/>
  <c r="E621" i="3"/>
  <c r="B621" i="3"/>
  <c r="U620" i="3"/>
  <c r="K620" i="3"/>
  <c r="E620" i="3"/>
  <c r="B620" i="3"/>
  <c r="U619" i="3"/>
  <c r="K619" i="3"/>
  <c r="E619" i="3"/>
  <c r="B619" i="3"/>
  <c r="U618" i="3"/>
  <c r="K618" i="3"/>
  <c r="E618" i="3"/>
  <c r="B618" i="3"/>
  <c r="U617" i="3"/>
  <c r="K617" i="3"/>
  <c r="E617" i="3"/>
  <c r="B617" i="3"/>
  <c r="U616" i="3"/>
  <c r="K616" i="3"/>
  <c r="E616" i="3"/>
  <c r="B616" i="3"/>
  <c r="U615" i="3"/>
  <c r="K615" i="3"/>
  <c r="E615" i="3"/>
  <c r="B615" i="3"/>
  <c r="U614" i="3"/>
  <c r="K614" i="3"/>
  <c r="E614" i="3"/>
  <c r="B614" i="3"/>
  <c r="U613" i="3"/>
  <c r="K613" i="3"/>
  <c r="E613" i="3"/>
  <c r="B613" i="3"/>
  <c r="U612" i="3"/>
  <c r="K612" i="3"/>
  <c r="E612" i="3"/>
  <c r="B612" i="3"/>
  <c r="U611" i="3"/>
  <c r="K611" i="3"/>
  <c r="E611" i="3"/>
  <c r="B611" i="3"/>
  <c r="U610" i="3"/>
  <c r="K610" i="3"/>
  <c r="E610" i="3"/>
  <c r="B610" i="3"/>
  <c r="U609" i="3"/>
  <c r="K609" i="3"/>
  <c r="E609" i="3"/>
  <c r="B609" i="3"/>
  <c r="U608" i="3"/>
  <c r="K608" i="3"/>
  <c r="E608" i="3"/>
  <c r="B608" i="3"/>
  <c r="U607" i="3"/>
  <c r="K607" i="3"/>
  <c r="E607" i="3"/>
  <c r="B607" i="3"/>
  <c r="U606" i="3"/>
  <c r="K606" i="3"/>
  <c r="E606" i="3"/>
  <c r="B606" i="3"/>
  <c r="U605" i="3"/>
  <c r="K605" i="3"/>
  <c r="E605" i="3"/>
  <c r="B605" i="3"/>
  <c r="U604" i="3"/>
  <c r="K604" i="3"/>
  <c r="E604" i="3"/>
  <c r="B604" i="3"/>
  <c r="U603" i="3"/>
  <c r="K603" i="3"/>
  <c r="E603" i="3"/>
  <c r="B603" i="3"/>
  <c r="U602" i="3"/>
  <c r="K602" i="3"/>
  <c r="E602" i="3"/>
  <c r="B602" i="3"/>
  <c r="U601" i="3"/>
  <c r="K601" i="3"/>
  <c r="E601" i="3"/>
  <c r="B601" i="3"/>
  <c r="U600" i="3"/>
  <c r="K600" i="3"/>
  <c r="E600" i="3"/>
  <c r="B600" i="3"/>
  <c r="U599" i="3"/>
  <c r="K599" i="3"/>
  <c r="E599" i="3"/>
  <c r="B599" i="3"/>
  <c r="U598" i="3"/>
  <c r="K598" i="3"/>
  <c r="E598" i="3"/>
  <c r="B598" i="3"/>
  <c r="U597" i="3"/>
  <c r="K597" i="3"/>
  <c r="E597" i="3"/>
  <c r="B597" i="3"/>
  <c r="U596" i="3"/>
  <c r="K596" i="3"/>
  <c r="E596" i="3"/>
  <c r="B596" i="3"/>
  <c r="U595" i="3"/>
  <c r="K595" i="3"/>
  <c r="E595" i="3"/>
  <c r="B595" i="3"/>
  <c r="U594" i="3"/>
  <c r="K594" i="3"/>
  <c r="E594" i="3"/>
  <c r="B594" i="3"/>
  <c r="U593" i="3"/>
  <c r="K593" i="3"/>
  <c r="E593" i="3"/>
  <c r="B593" i="3"/>
  <c r="U592" i="3"/>
  <c r="K592" i="3"/>
  <c r="E592" i="3"/>
  <c r="B592" i="3"/>
  <c r="U591" i="3"/>
  <c r="K591" i="3"/>
  <c r="E591" i="3"/>
  <c r="B591" i="3"/>
  <c r="K590" i="3"/>
  <c r="E590" i="3"/>
  <c r="B590" i="3"/>
  <c r="U589" i="3"/>
  <c r="K589" i="3"/>
  <c r="E589" i="3"/>
  <c r="B589" i="3"/>
  <c r="U588" i="3"/>
  <c r="K588" i="3"/>
  <c r="E588" i="3"/>
  <c r="B588" i="3"/>
  <c r="U587" i="3"/>
  <c r="K587" i="3"/>
  <c r="E587" i="3"/>
  <c r="B587" i="3"/>
  <c r="U586" i="3"/>
  <c r="K586" i="3"/>
  <c r="E586" i="3"/>
  <c r="B586" i="3"/>
  <c r="U585" i="3"/>
  <c r="K585" i="3"/>
  <c r="E585" i="3"/>
  <c r="B585" i="3"/>
  <c r="U584" i="3"/>
  <c r="K584" i="3"/>
  <c r="E584" i="3"/>
  <c r="B584" i="3"/>
  <c r="U583" i="3"/>
  <c r="K583" i="3"/>
  <c r="E583" i="3"/>
  <c r="B583" i="3"/>
  <c r="U582" i="3"/>
  <c r="K582" i="3"/>
  <c r="E582" i="3"/>
  <c r="B582" i="3"/>
  <c r="U581" i="3"/>
  <c r="K581" i="3"/>
  <c r="E581" i="3"/>
  <c r="B581" i="3"/>
  <c r="U580" i="3"/>
  <c r="K580" i="3"/>
  <c r="E580" i="3"/>
  <c r="B580" i="3"/>
  <c r="U579" i="3"/>
  <c r="K579" i="3"/>
  <c r="E579" i="3"/>
  <c r="B579" i="3"/>
  <c r="U578" i="3"/>
  <c r="K578" i="3"/>
  <c r="E578" i="3"/>
  <c r="B578" i="3"/>
  <c r="U577" i="3"/>
  <c r="K577" i="3"/>
  <c r="E577" i="3"/>
  <c r="B577" i="3"/>
  <c r="U576" i="3"/>
  <c r="K576" i="3"/>
  <c r="E576" i="3"/>
  <c r="B576" i="3"/>
  <c r="U575" i="3"/>
  <c r="K575" i="3"/>
  <c r="E575" i="3"/>
  <c r="B575" i="3"/>
  <c r="U574" i="3"/>
  <c r="K574" i="3"/>
  <c r="E574" i="3"/>
  <c r="B574" i="3"/>
  <c r="U573" i="3"/>
  <c r="K573" i="3"/>
  <c r="E573" i="3"/>
  <c r="B573" i="3"/>
  <c r="U572" i="3"/>
  <c r="K572" i="3"/>
  <c r="E572" i="3"/>
  <c r="B572" i="3"/>
  <c r="U571" i="3"/>
  <c r="K571" i="3"/>
  <c r="E571" i="3"/>
  <c r="B571" i="3"/>
  <c r="U570" i="3"/>
  <c r="K570" i="3"/>
  <c r="E570" i="3"/>
  <c r="B570" i="3"/>
  <c r="U569" i="3"/>
  <c r="K569" i="3"/>
  <c r="E569" i="3"/>
  <c r="B569" i="3"/>
  <c r="U568" i="3"/>
  <c r="K568" i="3"/>
  <c r="E568" i="3"/>
  <c r="B568" i="3"/>
  <c r="U567" i="3"/>
  <c r="K567" i="3"/>
  <c r="E567" i="3"/>
  <c r="B567" i="3"/>
  <c r="U566" i="3"/>
  <c r="K566" i="3"/>
  <c r="E566" i="3"/>
  <c r="B566" i="3"/>
  <c r="U565" i="3"/>
  <c r="K565" i="3"/>
  <c r="E565" i="3"/>
  <c r="B565" i="3"/>
  <c r="U564" i="3"/>
  <c r="K564" i="3"/>
  <c r="E564" i="3"/>
  <c r="B564" i="3"/>
  <c r="U563" i="3"/>
  <c r="K563" i="3"/>
  <c r="E563" i="3"/>
  <c r="B563" i="3"/>
  <c r="U562" i="3"/>
  <c r="K562" i="3"/>
  <c r="E562" i="3"/>
  <c r="B562" i="3"/>
  <c r="U561" i="3"/>
  <c r="K561" i="3"/>
  <c r="E561" i="3"/>
  <c r="B561" i="3"/>
  <c r="U560" i="3"/>
  <c r="K560" i="3"/>
  <c r="E560" i="3"/>
  <c r="B560" i="3"/>
  <c r="U559" i="3"/>
  <c r="K559" i="3"/>
  <c r="E559" i="3"/>
  <c r="B559" i="3"/>
  <c r="U558" i="3"/>
  <c r="K558" i="3"/>
  <c r="E558" i="3"/>
  <c r="B558" i="3"/>
  <c r="U557" i="3"/>
  <c r="K557" i="3"/>
  <c r="E557" i="3"/>
  <c r="B557" i="3"/>
  <c r="U556" i="3"/>
  <c r="K556" i="3"/>
  <c r="E556" i="3"/>
  <c r="B556" i="3"/>
  <c r="U555" i="3"/>
  <c r="K555" i="3"/>
  <c r="E555" i="3"/>
  <c r="B555" i="3"/>
  <c r="U554" i="3"/>
  <c r="K554" i="3"/>
  <c r="E554" i="3"/>
  <c r="B554" i="3"/>
  <c r="U553" i="3"/>
  <c r="K553" i="3"/>
  <c r="E553" i="3"/>
  <c r="B553" i="3"/>
  <c r="U552" i="3"/>
  <c r="K552" i="3"/>
  <c r="E552" i="3"/>
  <c r="B552" i="3"/>
  <c r="U551" i="3"/>
  <c r="K551" i="3"/>
  <c r="E551" i="3"/>
  <c r="B551" i="3"/>
  <c r="U550" i="3"/>
  <c r="K550" i="3"/>
  <c r="E550" i="3"/>
  <c r="B550" i="3"/>
  <c r="U549" i="3"/>
  <c r="K549" i="3"/>
  <c r="E549" i="3"/>
  <c r="B549" i="3"/>
  <c r="U548" i="3"/>
  <c r="K548" i="3"/>
  <c r="E548" i="3"/>
  <c r="B548" i="3"/>
  <c r="U547" i="3"/>
  <c r="K547" i="3"/>
  <c r="E547" i="3"/>
  <c r="B547" i="3"/>
  <c r="U546" i="3"/>
  <c r="K546" i="3"/>
  <c r="E546" i="3"/>
  <c r="B546" i="3"/>
  <c r="U545" i="3"/>
  <c r="K545" i="3"/>
  <c r="E545" i="3"/>
  <c r="B545" i="3"/>
  <c r="U544" i="3"/>
  <c r="K544" i="3"/>
  <c r="E544" i="3"/>
  <c r="B544" i="3"/>
  <c r="U543" i="3"/>
  <c r="K543" i="3"/>
  <c r="E543" i="3"/>
  <c r="B543" i="3"/>
  <c r="U542" i="3"/>
  <c r="K542" i="3"/>
  <c r="E542" i="3"/>
  <c r="B542" i="3"/>
  <c r="U541" i="3"/>
  <c r="K541" i="3"/>
  <c r="E541" i="3"/>
  <c r="B541" i="3"/>
  <c r="U540" i="3"/>
  <c r="K540" i="3"/>
  <c r="E540" i="3"/>
  <c r="B540" i="3"/>
  <c r="U539" i="3"/>
  <c r="K539" i="3"/>
  <c r="E539" i="3"/>
  <c r="B539" i="3"/>
  <c r="U538" i="3"/>
  <c r="K538" i="3"/>
  <c r="E538" i="3"/>
  <c r="B538" i="3"/>
  <c r="U537" i="3"/>
  <c r="K537" i="3"/>
  <c r="E537" i="3"/>
  <c r="B537" i="3"/>
  <c r="U536" i="3"/>
  <c r="K536" i="3"/>
  <c r="E536" i="3"/>
  <c r="B536" i="3"/>
  <c r="U535" i="3"/>
  <c r="K535" i="3"/>
  <c r="E535" i="3"/>
  <c r="B535" i="3"/>
  <c r="U534" i="3"/>
  <c r="K534" i="3"/>
  <c r="E534" i="3"/>
  <c r="B534" i="3"/>
  <c r="U533" i="3"/>
  <c r="K533" i="3"/>
  <c r="E533" i="3"/>
  <c r="B533" i="3"/>
  <c r="U532" i="3"/>
  <c r="K532" i="3"/>
  <c r="E532" i="3"/>
  <c r="B532" i="3"/>
  <c r="U531" i="3"/>
  <c r="K531" i="3"/>
  <c r="E531" i="3"/>
  <c r="B531" i="3"/>
  <c r="U530" i="3"/>
  <c r="K530" i="3"/>
  <c r="E530" i="3"/>
  <c r="B530" i="3"/>
  <c r="U529" i="3"/>
  <c r="K529" i="3"/>
  <c r="E529" i="3"/>
  <c r="B529" i="3"/>
  <c r="U528" i="3"/>
  <c r="K528" i="3"/>
  <c r="E528" i="3"/>
  <c r="B528" i="3"/>
  <c r="U527" i="3"/>
  <c r="K527" i="3"/>
  <c r="E527" i="3"/>
  <c r="B527" i="3"/>
  <c r="U526" i="3"/>
  <c r="K526" i="3"/>
  <c r="E526" i="3"/>
  <c r="B526" i="3"/>
  <c r="U525" i="3"/>
  <c r="K525" i="3"/>
  <c r="E525" i="3"/>
  <c r="B525" i="3"/>
  <c r="U524" i="3"/>
  <c r="K524" i="3"/>
  <c r="E524" i="3"/>
  <c r="B524" i="3"/>
  <c r="U523" i="3"/>
  <c r="K523" i="3"/>
  <c r="E523" i="3"/>
  <c r="B523" i="3"/>
  <c r="U522" i="3"/>
  <c r="K522" i="3"/>
  <c r="E522" i="3"/>
  <c r="B522" i="3"/>
  <c r="U521" i="3"/>
  <c r="K521" i="3"/>
  <c r="E521" i="3"/>
  <c r="B521" i="3"/>
  <c r="U520" i="3"/>
  <c r="K520" i="3"/>
  <c r="E520" i="3"/>
  <c r="B520" i="3"/>
  <c r="U519" i="3"/>
  <c r="K519" i="3"/>
  <c r="E519" i="3"/>
  <c r="B519" i="3"/>
  <c r="U518" i="3"/>
  <c r="K518" i="3"/>
  <c r="E518" i="3"/>
  <c r="B518" i="3"/>
  <c r="U517" i="3"/>
  <c r="K517" i="3"/>
  <c r="E517" i="3"/>
  <c r="B517" i="3"/>
  <c r="U516" i="3"/>
  <c r="K516" i="3"/>
  <c r="E516" i="3"/>
  <c r="B516" i="3"/>
  <c r="U515" i="3"/>
  <c r="K515" i="3"/>
  <c r="E515" i="3"/>
  <c r="B515" i="3"/>
  <c r="U514" i="3"/>
  <c r="K514" i="3"/>
  <c r="E514" i="3"/>
  <c r="B514" i="3"/>
  <c r="U513" i="3"/>
  <c r="K513" i="3"/>
  <c r="E513" i="3"/>
  <c r="B513" i="3"/>
  <c r="U512" i="3"/>
  <c r="K512" i="3"/>
  <c r="E512" i="3"/>
  <c r="B512" i="3"/>
  <c r="U511" i="3"/>
  <c r="K511" i="3"/>
  <c r="E511" i="3"/>
  <c r="B511" i="3"/>
  <c r="U510" i="3"/>
  <c r="K510" i="3"/>
  <c r="E510" i="3"/>
  <c r="B510" i="3"/>
  <c r="U509" i="3"/>
  <c r="K509" i="3"/>
  <c r="E509" i="3"/>
  <c r="B509" i="3"/>
  <c r="U508" i="3"/>
  <c r="K508" i="3"/>
  <c r="E508" i="3"/>
  <c r="B508" i="3"/>
  <c r="U507" i="3"/>
  <c r="K507" i="3"/>
  <c r="E507" i="3"/>
  <c r="B507" i="3"/>
  <c r="U506" i="3"/>
  <c r="K506" i="3"/>
  <c r="E506" i="3"/>
  <c r="B506" i="3"/>
  <c r="U505" i="3"/>
  <c r="K505" i="3"/>
  <c r="E505" i="3"/>
  <c r="B505" i="3"/>
  <c r="U504" i="3"/>
  <c r="K504" i="3"/>
  <c r="E504" i="3"/>
  <c r="B504" i="3"/>
  <c r="U503" i="3"/>
  <c r="K503" i="3"/>
  <c r="E503" i="3"/>
  <c r="B503" i="3"/>
  <c r="U502" i="3"/>
  <c r="K502" i="3"/>
  <c r="E502" i="3"/>
  <c r="B502" i="3"/>
  <c r="U501" i="3"/>
  <c r="K501" i="3"/>
  <c r="E501" i="3"/>
  <c r="B501" i="3"/>
  <c r="U500" i="3"/>
  <c r="K500" i="3"/>
  <c r="E500" i="3"/>
  <c r="B500" i="3"/>
  <c r="U499" i="3"/>
  <c r="K499" i="3"/>
  <c r="E499" i="3"/>
  <c r="B499" i="3"/>
  <c r="U498" i="3"/>
  <c r="K498" i="3"/>
  <c r="E498" i="3"/>
  <c r="B498" i="3"/>
  <c r="U497" i="3"/>
  <c r="K497" i="3"/>
  <c r="E497" i="3"/>
  <c r="B497" i="3"/>
  <c r="U496" i="3"/>
  <c r="K496" i="3"/>
  <c r="E496" i="3"/>
  <c r="B496" i="3"/>
  <c r="U495" i="3"/>
  <c r="K495" i="3"/>
  <c r="E495" i="3"/>
  <c r="B495" i="3"/>
  <c r="U494" i="3"/>
  <c r="K494" i="3"/>
  <c r="E494" i="3"/>
  <c r="B494" i="3"/>
  <c r="U493" i="3"/>
  <c r="K493" i="3"/>
  <c r="E493" i="3"/>
  <c r="B493" i="3"/>
  <c r="U492" i="3"/>
  <c r="K492" i="3"/>
  <c r="E492" i="3"/>
  <c r="B492" i="3"/>
  <c r="U491" i="3"/>
  <c r="K491" i="3"/>
  <c r="E491" i="3"/>
  <c r="B491" i="3"/>
  <c r="U490" i="3"/>
  <c r="K490" i="3"/>
  <c r="E490" i="3"/>
  <c r="B490" i="3"/>
  <c r="U489" i="3"/>
  <c r="K489" i="3"/>
  <c r="E489" i="3"/>
  <c r="B489" i="3"/>
  <c r="U488" i="3"/>
  <c r="K488" i="3"/>
  <c r="E488" i="3"/>
  <c r="B488" i="3"/>
  <c r="U487" i="3"/>
  <c r="K487" i="3"/>
  <c r="E487" i="3"/>
  <c r="B487" i="3"/>
  <c r="U486" i="3"/>
  <c r="K486" i="3"/>
  <c r="E486" i="3"/>
  <c r="B486" i="3"/>
  <c r="U485" i="3"/>
  <c r="K485" i="3"/>
  <c r="E485" i="3"/>
  <c r="B485" i="3"/>
  <c r="U484" i="3"/>
  <c r="K484" i="3"/>
  <c r="E484" i="3"/>
  <c r="B484" i="3"/>
  <c r="U483" i="3"/>
  <c r="K483" i="3"/>
  <c r="E483" i="3"/>
  <c r="B483" i="3"/>
  <c r="U482" i="3"/>
  <c r="K482" i="3"/>
  <c r="E482" i="3"/>
  <c r="B482" i="3"/>
  <c r="U481" i="3"/>
  <c r="K481" i="3"/>
  <c r="E481" i="3"/>
  <c r="B481" i="3"/>
  <c r="U480" i="3"/>
  <c r="K480" i="3"/>
  <c r="E480" i="3"/>
  <c r="B480" i="3"/>
  <c r="U479" i="3"/>
  <c r="K479" i="3"/>
  <c r="E479" i="3"/>
  <c r="B479" i="3"/>
  <c r="U478" i="3"/>
  <c r="K478" i="3"/>
  <c r="E478" i="3"/>
  <c r="B478" i="3"/>
  <c r="U477" i="3"/>
  <c r="K477" i="3"/>
  <c r="E477" i="3"/>
  <c r="B477" i="3"/>
  <c r="U476" i="3"/>
  <c r="K476" i="3"/>
  <c r="E476" i="3"/>
  <c r="B476" i="3"/>
  <c r="U475" i="3"/>
  <c r="K475" i="3"/>
  <c r="E475" i="3"/>
  <c r="B475" i="3"/>
  <c r="U474" i="3"/>
  <c r="K474" i="3"/>
  <c r="E474" i="3"/>
  <c r="B474" i="3"/>
  <c r="U473" i="3"/>
  <c r="K473" i="3"/>
  <c r="E473" i="3"/>
  <c r="B473" i="3"/>
  <c r="U472" i="3"/>
  <c r="K472" i="3"/>
  <c r="E472" i="3"/>
  <c r="B472" i="3"/>
  <c r="U471" i="3"/>
  <c r="K471" i="3"/>
  <c r="E471" i="3"/>
  <c r="B471" i="3"/>
  <c r="U470" i="3"/>
  <c r="K470" i="3"/>
  <c r="E470" i="3"/>
  <c r="B470" i="3"/>
  <c r="U469" i="3"/>
  <c r="K469" i="3"/>
  <c r="E469" i="3"/>
  <c r="B469" i="3"/>
  <c r="U468" i="3"/>
  <c r="K468" i="3"/>
  <c r="E468" i="3"/>
  <c r="B468" i="3"/>
  <c r="U467" i="3"/>
  <c r="K467" i="3"/>
  <c r="E467" i="3"/>
  <c r="B467" i="3"/>
  <c r="U466" i="3"/>
  <c r="K466" i="3"/>
  <c r="E466" i="3"/>
  <c r="B466" i="3"/>
  <c r="U465" i="3"/>
  <c r="K465" i="3"/>
  <c r="E465" i="3"/>
  <c r="B465" i="3"/>
  <c r="U464" i="3"/>
  <c r="K464" i="3"/>
  <c r="E464" i="3"/>
  <c r="B464" i="3"/>
  <c r="U463" i="3"/>
  <c r="K463" i="3"/>
  <c r="E463" i="3"/>
  <c r="B463" i="3"/>
  <c r="K462" i="3"/>
  <c r="E462" i="3"/>
  <c r="B462" i="3"/>
  <c r="U461" i="3"/>
  <c r="K461" i="3"/>
  <c r="E461" i="3"/>
  <c r="B461" i="3"/>
  <c r="U460" i="3"/>
  <c r="K460" i="3"/>
  <c r="E460" i="3"/>
  <c r="B460" i="3"/>
  <c r="U459" i="3"/>
  <c r="K459" i="3"/>
  <c r="E459" i="3"/>
  <c r="B459" i="3"/>
  <c r="U458" i="3"/>
  <c r="K458" i="3"/>
  <c r="E458" i="3"/>
  <c r="B458" i="3"/>
  <c r="U457" i="3"/>
  <c r="K457" i="3"/>
  <c r="E457" i="3"/>
  <c r="B457" i="3"/>
  <c r="U456" i="3"/>
  <c r="K456" i="3"/>
  <c r="E456" i="3"/>
  <c r="B456" i="3"/>
  <c r="U455" i="3"/>
  <c r="K455" i="3"/>
  <c r="E455" i="3"/>
  <c r="B455" i="3"/>
  <c r="U454" i="3"/>
  <c r="K454" i="3"/>
  <c r="E454" i="3"/>
  <c r="B454" i="3"/>
  <c r="U453" i="3"/>
  <c r="K453" i="3"/>
  <c r="E453" i="3"/>
  <c r="B453" i="3"/>
  <c r="U452" i="3"/>
  <c r="K452" i="3"/>
  <c r="E452" i="3"/>
  <c r="B452" i="3"/>
  <c r="U451" i="3"/>
  <c r="K451" i="3"/>
  <c r="E451" i="3"/>
  <c r="B451" i="3"/>
  <c r="U450" i="3"/>
  <c r="K450" i="3"/>
  <c r="E450" i="3"/>
  <c r="B450" i="3"/>
  <c r="U449" i="3"/>
  <c r="K449" i="3"/>
  <c r="E449" i="3"/>
  <c r="B449" i="3"/>
  <c r="U448" i="3"/>
  <c r="K448" i="3"/>
  <c r="E448" i="3"/>
  <c r="B448" i="3"/>
  <c r="U447" i="3"/>
  <c r="K447" i="3"/>
  <c r="E447" i="3"/>
  <c r="B447" i="3"/>
  <c r="U446" i="3"/>
  <c r="K446" i="3"/>
  <c r="E446" i="3"/>
  <c r="B446" i="3"/>
  <c r="U445" i="3"/>
  <c r="K445" i="3"/>
  <c r="E445" i="3"/>
  <c r="B445" i="3"/>
  <c r="U444" i="3"/>
  <c r="K444" i="3"/>
  <c r="E444" i="3"/>
  <c r="B444" i="3"/>
  <c r="U443" i="3"/>
  <c r="K443" i="3"/>
  <c r="E443" i="3"/>
  <c r="B443" i="3"/>
  <c r="U442" i="3"/>
  <c r="K442" i="3"/>
  <c r="E442" i="3"/>
  <c r="B442" i="3"/>
  <c r="U441" i="3"/>
  <c r="K441" i="3"/>
  <c r="E441" i="3"/>
  <c r="B441" i="3"/>
  <c r="U440" i="3"/>
  <c r="K440" i="3"/>
  <c r="E440" i="3"/>
  <c r="B440" i="3"/>
  <c r="U439" i="3"/>
  <c r="K439" i="3"/>
  <c r="E439" i="3"/>
  <c r="B439" i="3"/>
  <c r="U438" i="3"/>
  <c r="K438" i="3"/>
  <c r="E438" i="3"/>
  <c r="B438" i="3"/>
  <c r="U437" i="3"/>
  <c r="K437" i="3"/>
  <c r="E437" i="3"/>
  <c r="B437" i="3"/>
  <c r="U436" i="3"/>
  <c r="K436" i="3"/>
  <c r="E436" i="3"/>
  <c r="B436" i="3"/>
  <c r="U435" i="3"/>
  <c r="K435" i="3"/>
  <c r="E435" i="3"/>
  <c r="B435" i="3"/>
  <c r="U434" i="3"/>
  <c r="K434" i="3"/>
  <c r="E434" i="3"/>
  <c r="B434" i="3"/>
  <c r="U433" i="3"/>
  <c r="K433" i="3"/>
  <c r="E433" i="3"/>
  <c r="B433" i="3"/>
  <c r="U432" i="3"/>
  <c r="K432" i="3"/>
  <c r="E432" i="3"/>
  <c r="B432" i="3"/>
  <c r="U431" i="3"/>
  <c r="K431" i="3"/>
  <c r="E431" i="3"/>
  <c r="B431" i="3"/>
  <c r="K430" i="3"/>
  <c r="E430" i="3"/>
  <c r="B430" i="3"/>
  <c r="U429" i="3"/>
  <c r="K429" i="3"/>
  <c r="E429" i="3"/>
  <c r="B429" i="3"/>
  <c r="U428" i="3"/>
  <c r="K428" i="3"/>
  <c r="E428" i="3"/>
  <c r="B428" i="3"/>
  <c r="U427" i="3"/>
  <c r="K427" i="3"/>
  <c r="E427" i="3"/>
  <c r="B427" i="3"/>
  <c r="K426" i="3"/>
  <c r="E426" i="3"/>
  <c r="B426" i="3"/>
  <c r="U425" i="3"/>
  <c r="K425" i="3"/>
  <c r="E425" i="3"/>
  <c r="B425" i="3"/>
  <c r="U424" i="3"/>
  <c r="K424" i="3"/>
  <c r="E424" i="3"/>
  <c r="B424" i="3"/>
  <c r="U423" i="3"/>
  <c r="K423" i="3"/>
  <c r="E423" i="3"/>
  <c r="B423" i="3"/>
  <c r="U422" i="3"/>
  <c r="K422" i="3"/>
  <c r="E422" i="3"/>
  <c r="B422" i="3"/>
  <c r="U421" i="3"/>
  <c r="K421" i="3"/>
  <c r="E421" i="3"/>
  <c r="B421" i="3"/>
  <c r="U420" i="3"/>
  <c r="K420" i="3"/>
  <c r="E420" i="3"/>
  <c r="B420" i="3"/>
  <c r="U419" i="3"/>
  <c r="K419" i="3"/>
  <c r="E419" i="3"/>
  <c r="B419" i="3"/>
  <c r="U418" i="3"/>
  <c r="K418" i="3"/>
  <c r="E418" i="3"/>
  <c r="B418" i="3"/>
  <c r="U417" i="3"/>
  <c r="K417" i="3"/>
  <c r="E417" i="3"/>
  <c r="B417" i="3"/>
  <c r="U416" i="3"/>
  <c r="K416" i="3"/>
  <c r="E416" i="3"/>
  <c r="B416" i="3"/>
  <c r="U415" i="3"/>
  <c r="K415" i="3"/>
  <c r="E415" i="3"/>
  <c r="B415" i="3"/>
  <c r="U414" i="3"/>
  <c r="K414" i="3"/>
  <c r="E414" i="3"/>
  <c r="B414" i="3"/>
  <c r="U413" i="3"/>
  <c r="K413" i="3"/>
  <c r="E413" i="3"/>
  <c r="B413" i="3"/>
  <c r="U412" i="3"/>
  <c r="K412" i="3"/>
  <c r="E412" i="3"/>
  <c r="B412" i="3"/>
  <c r="U411" i="3"/>
  <c r="K411" i="3"/>
  <c r="E411" i="3"/>
  <c r="B411" i="3"/>
  <c r="U410" i="3"/>
  <c r="K410" i="3"/>
  <c r="E410" i="3"/>
  <c r="B410" i="3"/>
  <c r="U409" i="3"/>
  <c r="K409" i="3"/>
  <c r="E409" i="3"/>
  <c r="B409" i="3"/>
  <c r="U408" i="3"/>
  <c r="K408" i="3"/>
  <c r="E408" i="3"/>
  <c r="B408" i="3"/>
  <c r="U407" i="3"/>
  <c r="K407" i="3"/>
  <c r="E407" i="3"/>
  <c r="B407" i="3"/>
  <c r="U406" i="3"/>
  <c r="K406" i="3"/>
  <c r="E406" i="3"/>
  <c r="B406" i="3"/>
  <c r="U405" i="3"/>
  <c r="K405" i="3"/>
  <c r="E405" i="3"/>
  <c r="B405" i="3"/>
  <c r="U404" i="3"/>
  <c r="K404" i="3"/>
  <c r="E404" i="3"/>
  <c r="B404" i="3"/>
  <c r="U403" i="3"/>
  <c r="K403" i="3"/>
  <c r="E403" i="3"/>
  <c r="B403" i="3"/>
  <c r="U402" i="3"/>
  <c r="K402" i="3"/>
  <c r="E402" i="3"/>
  <c r="B402" i="3"/>
  <c r="U401" i="3"/>
  <c r="K401" i="3"/>
  <c r="E401" i="3"/>
  <c r="B401" i="3"/>
  <c r="K400" i="3"/>
  <c r="E400" i="3"/>
  <c r="B400" i="3"/>
  <c r="U399" i="3"/>
  <c r="K399" i="3"/>
  <c r="E399" i="3"/>
  <c r="B399" i="3"/>
  <c r="U398" i="3"/>
  <c r="K398" i="3"/>
  <c r="E398" i="3"/>
  <c r="B398" i="3"/>
  <c r="U397" i="3"/>
  <c r="K397" i="3"/>
  <c r="E397" i="3"/>
  <c r="B397" i="3"/>
  <c r="U396" i="3"/>
  <c r="K396" i="3"/>
  <c r="E396" i="3"/>
  <c r="B396" i="3"/>
  <c r="U395" i="3"/>
  <c r="K395" i="3"/>
  <c r="E395" i="3"/>
  <c r="B395" i="3"/>
  <c r="U394" i="3"/>
  <c r="K394" i="3"/>
  <c r="E394" i="3"/>
  <c r="B394" i="3"/>
  <c r="U393" i="3"/>
  <c r="K393" i="3"/>
  <c r="E393" i="3"/>
  <c r="B393" i="3"/>
  <c r="U392" i="3"/>
  <c r="K392" i="3"/>
  <c r="E392" i="3"/>
  <c r="B392" i="3"/>
  <c r="U391" i="3"/>
  <c r="K391" i="3"/>
  <c r="E391" i="3"/>
  <c r="B391" i="3"/>
  <c r="U390" i="3"/>
  <c r="K390" i="3"/>
  <c r="E390" i="3"/>
  <c r="B390" i="3"/>
  <c r="U389" i="3"/>
  <c r="K389" i="3"/>
  <c r="E389" i="3"/>
  <c r="B389" i="3"/>
  <c r="U388" i="3"/>
  <c r="K388" i="3"/>
  <c r="E388" i="3"/>
  <c r="B388" i="3"/>
  <c r="U387" i="3"/>
  <c r="K387" i="3"/>
  <c r="E387" i="3"/>
  <c r="B387" i="3"/>
  <c r="U386" i="3"/>
  <c r="K386" i="3"/>
  <c r="E386" i="3"/>
  <c r="B386" i="3"/>
  <c r="U385" i="3"/>
  <c r="K385" i="3"/>
  <c r="E385" i="3"/>
  <c r="B385" i="3"/>
  <c r="U384" i="3"/>
  <c r="K384" i="3"/>
  <c r="E384" i="3"/>
  <c r="B384" i="3"/>
  <c r="U383" i="3"/>
  <c r="K383" i="3"/>
  <c r="E383" i="3"/>
  <c r="B383" i="3"/>
  <c r="U382" i="3"/>
  <c r="K382" i="3"/>
  <c r="E382" i="3"/>
  <c r="B382" i="3"/>
  <c r="U381" i="3"/>
  <c r="K381" i="3"/>
  <c r="E381" i="3"/>
  <c r="B381" i="3"/>
  <c r="U380" i="3"/>
  <c r="K380" i="3"/>
  <c r="E380" i="3"/>
  <c r="B380" i="3"/>
  <c r="U379" i="3"/>
  <c r="K379" i="3"/>
  <c r="E379" i="3"/>
  <c r="B379" i="3"/>
  <c r="U378" i="3"/>
  <c r="K378" i="3"/>
  <c r="E378" i="3"/>
  <c r="B378" i="3"/>
  <c r="U377" i="3"/>
  <c r="K377" i="3"/>
  <c r="E377" i="3"/>
  <c r="B377" i="3"/>
  <c r="U376" i="3"/>
  <c r="K376" i="3"/>
  <c r="E376" i="3"/>
  <c r="B376" i="3"/>
  <c r="U375" i="3"/>
  <c r="K375" i="3"/>
  <c r="E375" i="3"/>
  <c r="B375" i="3"/>
  <c r="U374" i="3"/>
  <c r="K374" i="3"/>
  <c r="E374" i="3"/>
  <c r="B374" i="3"/>
  <c r="U373" i="3"/>
  <c r="K373" i="3"/>
  <c r="E373" i="3"/>
  <c r="B373" i="3"/>
  <c r="U372" i="3"/>
  <c r="K372" i="3"/>
  <c r="E372" i="3"/>
  <c r="B372" i="3"/>
  <c r="U371" i="3"/>
  <c r="K371" i="3"/>
  <c r="E371" i="3"/>
  <c r="B371" i="3"/>
  <c r="U370" i="3"/>
  <c r="K370" i="3"/>
  <c r="E370" i="3"/>
  <c r="B370" i="3"/>
  <c r="U369" i="3"/>
  <c r="K369" i="3"/>
  <c r="E369" i="3"/>
  <c r="B369" i="3"/>
  <c r="U368" i="3"/>
  <c r="K368" i="3"/>
  <c r="E368" i="3"/>
  <c r="B368" i="3"/>
  <c r="U367" i="3"/>
  <c r="K367" i="3"/>
  <c r="E367" i="3"/>
  <c r="B367" i="3"/>
  <c r="U366" i="3"/>
  <c r="K366" i="3"/>
  <c r="E366" i="3"/>
  <c r="B366" i="3"/>
  <c r="U365" i="3"/>
  <c r="K365" i="3"/>
  <c r="E365" i="3"/>
  <c r="B365" i="3"/>
  <c r="U364" i="3"/>
  <c r="K364" i="3"/>
  <c r="E364" i="3"/>
  <c r="B364" i="3"/>
  <c r="U363" i="3"/>
  <c r="K363" i="3"/>
  <c r="E363" i="3"/>
  <c r="B363" i="3"/>
  <c r="U362" i="3"/>
  <c r="K362" i="3"/>
  <c r="E362" i="3"/>
  <c r="B362" i="3"/>
  <c r="U361" i="3"/>
  <c r="K361" i="3"/>
  <c r="E361" i="3"/>
  <c r="B361" i="3"/>
  <c r="U360" i="3"/>
  <c r="K360" i="3"/>
  <c r="E360" i="3"/>
  <c r="B360" i="3"/>
  <c r="U359" i="3"/>
  <c r="K359" i="3"/>
  <c r="E359" i="3"/>
  <c r="B359" i="3"/>
  <c r="U358" i="3"/>
  <c r="K358" i="3"/>
  <c r="E358" i="3"/>
  <c r="B358" i="3"/>
  <c r="U357" i="3"/>
  <c r="K357" i="3"/>
  <c r="E357" i="3"/>
  <c r="B357" i="3"/>
  <c r="U356" i="3"/>
  <c r="K356" i="3"/>
  <c r="E356" i="3"/>
  <c r="B356" i="3"/>
  <c r="U355" i="3"/>
  <c r="K355" i="3"/>
  <c r="E355" i="3"/>
  <c r="B355" i="3"/>
  <c r="U354" i="3"/>
  <c r="K354" i="3"/>
  <c r="E354" i="3"/>
  <c r="B354" i="3"/>
  <c r="U353" i="3"/>
  <c r="K353" i="3"/>
  <c r="E353" i="3"/>
  <c r="B353" i="3"/>
  <c r="U352" i="3"/>
  <c r="K352" i="3"/>
  <c r="E352" i="3"/>
  <c r="B352" i="3"/>
  <c r="U351" i="3"/>
  <c r="K351" i="3"/>
  <c r="E351" i="3"/>
  <c r="B351" i="3"/>
  <c r="U350" i="3"/>
  <c r="K350" i="3"/>
  <c r="E350" i="3"/>
  <c r="B350" i="3"/>
  <c r="U349" i="3"/>
  <c r="K349" i="3"/>
  <c r="E349" i="3"/>
  <c r="B349" i="3"/>
  <c r="U348" i="3"/>
  <c r="K348" i="3"/>
  <c r="E348" i="3"/>
  <c r="B348" i="3"/>
  <c r="U347" i="3"/>
  <c r="K347" i="3"/>
  <c r="E347" i="3"/>
  <c r="B347" i="3"/>
  <c r="U346" i="3"/>
  <c r="K346" i="3"/>
  <c r="E346" i="3"/>
  <c r="B346" i="3"/>
  <c r="U345" i="3"/>
  <c r="K345" i="3"/>
  <c r="E345" i="3"/>
  <c r="B345" i="3"/>
  <c r="U344" i="3"/>
  <c r="K344" i="3"/>
  <c r="E344" i="3"/>
  <c r="B344" i="3"/>
  <c r="U343" i="3"/>
  <c r="K343" i="3"/>
  <c r="E343" i="3"/>
  <c r="B343" i="3"/>
  <c r="U342" i="3"/>
  <c r="K342" i="3"/>
  <c r="E342" i="3"/>
  <c r="B342" i="3"/>
  <c r="U341" i="3"/>
  <c r="K341" i="3"/>
  <c r="E341" i="3"/>
  <c r="B341" i="3"/>
  <c r="U340" i="3"/>
  <c r="K340" i="3"/>
  <c r="E340" i="3"/>
  <c r="B340" i="3"/>
  <c r="U339" i="3"/>
  <c r="K339" i="3"/>
  <c r="E339" i="3"/>
  <c r="B339" i="3"/>
  <c r="U338" i="3"/>
  <c r="K338" i="3"/>
  <c r="E338" i="3"/>
  <c r="B338" i="3"/>
  <c r="U337" i="3"/>
  <c r="K337" i="3"/>
  <c r="E337" i="3"/>
  <c r="B337" i="3"/>
  <c r="U336" i="3"/>
  <c r="K336" i="3"/>
  <c r="E336" i="3"/>
  <c r="B336" i="3"/>
  <c r="U335" i="3"/>
  <c r="K335" i="3"/>
  <c r="E335" i="3"/>
  <c r="B335" i="3"/>
  <c r="U334" i="3"/>
  <c r="K334" i="3"/>
  <c r="E334" i="3"/>
  <c r="B334" i="3"/>
  <c r="U333" i="3"/>
  <c r="K333" i="3"/>
  <c r="E333" i="3"/>
  <c r="B333" i="3"/>
  <c r="U332" i="3"/>
  <c r="K332" i="3"/>
  <c r="E332" i="3"/>
  <c r="B332" i="3"/>
  <c r="U331" i="3"/>
  <c r="K331" i="3"/>
  <c r="E331" i="3"/>
  <c r="B331" i="3"/>
  <c r="U330" i="3"/>
  <c r="K330" i="3"/>
  <c r="E330" i="3"/>
  <c r="B330" i="3"/>
  <c r="U329" i="3"/>
  <c r="K329" i="3"/>
  <c r="E329" i="3"/>
  <c r="B329" i="3"/>
  <c r="U328" i="3"/>
  <c r="K328" i="3"/>
  <c r="E328" i="3"/>
  <c r="B328" i="3"/>
  <c r="U327" i="3"/>
  <c r="K327" i="3"/>
  <c r="E327" i="3"/>
  <c r="B327" i="3"/>
  <c r="U326" i="3"/>
  <c r="K326" i="3"/>
  <c r="E326" i="3"/>
  <c r="B326" i="3"/>
  <c r="U325" i="3"/>
  <c r="K325" i="3"/>
  <c r="E325" i="3"/>
  <c r="B325" i="3"/>
  <c r="U324" i="3"/>
  <c r="K324" i="3"/>
  <c r="E324" i="3"/>
  <c r="B324" i="3"/>
  <c r="U323" i="3"/>
  <c r="K323" i="3"/>
  <c r="E323" i="3"/>
  <c r="B323" i="3"/>
  <c r="U322" i="3"/>
  <c r="K322" i="3"/>
  <c r="E322" i="3"/>
  <c r="B322" i="3"/>
  <c r="U321" i="3"/>
  <c r="K321" i="3"/>
  <c r="E321" i="3"/>
  <c r="B321" i="3"/>
  <c r="U320" i="3"/>
  <c r="K320" i="3"/>
  <c r="E320" i="3"/>
  <c r="B320" i="3"/>
  <c r="U319" i="3"/>
  <c r="K319" i="3"/>
  <c r="E319" i="3"/>
  <c r="B319" i="3"/>
  <c r="U318" i="3"/>
  <c r="K318" i="3"/>
  <c r="E318" i="3"/>
  <c r="B318" i="3"/>
  <c r="U317" i="3"/>
  <c r="K317" i="3"/>
  <c r="E317" i="3"/>
  <c r="B317" i="3"/>
  <c r="U316" i="3"/>
  <c r="K316" i="3"/>
  <c r="E316" i="3"/>
  <c r="B316" i="3"/>
  <c r="U315" i="3"/>
  <c r="K315" i="3"/>
  <c r="E315" i="3"/>
  <c r="B315" i="3"/>
  <c r="U314" i="3"/>
  <c r="K314" i="3"/>
  <c r="E314" i="3"/>
  <c r="B314" i="3"/>
  <c r="U313" i="3"/>
  <c r="K313" i="3"/>
  <c r="E313" i="3"/>
  <c r="B313" i="3"/>
  <c r="U312" i="3"/>
  <c r="K312" i="3"/>
  <c r="E312" i="3"/>
  <c r="B312" i="3"/>
  <c r="U311" i="3"/>
  <c r="K311" i="3"/>
  <c r="E311" i="3"/>
  <c r="B311" i="3"/>
  <c r="U310" i="3"/>
  <c r="K310" i="3"/>
  <c r="E310" i="3"/>
  <c r="B310" i="3"/>
  <c r="U309" i="3"/>
  <c r="K309" i="3"/>
  <c r="E309" i="3"/>
  <c r="B309" i="3"/>
  <c r="U308" i="3"/>
  <c r="K308" i="3"/>
  <c r="E308" i="3"/>
  <c r="B308" i="3"/>
  <c r="U307" i="3"/>
  <c r="K307" i="3"/>
  <c r="E307" i="3"/>
  <c r="B307" i="3"/>
  <c r="U306" i="3"/>
  <c r="K306" i="3"/>
  <c r="E306" i="3"/>
  <c r="B306" i="3"/>
  <c r="U305" i="3"/>
  <c r="K305" i="3"/>
  <c r="E305" i="3"/>
  <c r="B305" i="3"/>
  <c r="U304" i="3"/>
  <c r="K304" i="3"/>
  <c r="E304" i="3"/>
  <c r="B304" i="3"/>
  <c r="U303" i="3"/>
  <c r="K303" i="3"/>
  <c r="E303" i="3"/>
  <c r="B303" i="3"/>
  <c r="U302" i="3"/>
  <c r="K302" i="3"/>
  <c r="E302" i="3"/>
  <c r="B302" i="3"/>
  <c r="U301" i="3"/>
  <c r="K301" i="3"/>
  <c r="E301" i="3"/>
  <c r="B301" i="3"/>
  <c r="U300" i="3"/>
  <c r="K300" i="3"/>
  <c r="E300" i="3"/>
  <c r="B300" i="3"/>
  <c r="U299" i="3"/>
  <c r="K299" i="3"/>
  <c r="E299" i="3"/>
  <c r="B299" i="3"/>
  <c r="U298" i="3"/>
  <c r="K298" i="3"/>
  <c r="E298" i="3"/>
  <c r="B298" i="3"/>
  <c r="U297" i="3"/>
  <c r="K297" i="3"/>
  <c r="E297" i="3"/>
  <c r="B297" i="3"/>
  <c r="U296" i="3"/>
  <c r="K296" i="3"/>
  <c r="E296" i="3"/>
  <c r="B296" i="3"/>
  <c r="U295" i="3"/>
  <c r="K295" i="3"/>
  <c r="E295" i="3"/>
  <c r="B295" i="3"/>
  <c r="U294" i="3"/>
  <c r="K294" i="3"/>
  <c r="E294" i="3"/>
  <c r="B294" i="3"/>
  <c r="U293" i="3"/>
  <c r="K293" i="3"/>
  <c r="E293" i="3"/>
  <c r="B293" i="3"/>
  <c r="U292" i="3"/>
  <c r="K292" i="3"/>
  <c r="E292" i="3"/>
  <c r="B292" i="3"/>
  <c r="U291" i="3"/>
  <c r="K291" i="3"/>
  <c r="E291" i="3"/>
  <c r="B291" i="3"/>
  <c r="U290" i="3"/>
  <c r="K290" i="3"/>
  <c r="E290" i="3"/>
  <c r="B290" i="3"/>
  <c r="U289" i="3"/>
  <c r="K289" i="3"/>
  <c r="E289" i="3"/>
  <c r="B289" i="3"/>
  <c r="U288" i="3"/>
  <c r="K288" i="3"/>
  <c r="E288" i="3"/>
  <c r="B288" i="3"/>
  <c r="U287" i="3"/>
  <c r="K287" i="3"/>
  <c r="E287" i="3"/>
  <c r="B287" i="3"/>
  <c r="U286" i="3"/>
  <c r="K286" i="3"/>
  <c r="E286" i="3"/>
  <c r="B286" i="3"/>
  <c r="U285" i="3"/>
  <c r="K285" i="3"/>
  <c r="E285" i="3"/>
  <c r="B285" i="3"/>
  <c r="U284" i="3"/>
  <c r="K284" i="3"/>
  <c r="E284" i="3"/>
  <c r="B284" i="3"/>
  <c r="U283" i="3"/>
  <c r="K283" i="3"/>
  <c r="E283" i="3"/>
  <c r="B283" i="3"/>
  <c r="U282" i="3"/>
  <c r="K282" i="3"/>
  <c r="E282" i="3"/>
  <c r="B282" i="3"/>
  <c r="U281" i="3"/>
  <c r="K281" i="3"/>
  <c r="E281" i="3"/>
  <c r="B281" i="3"/>
  <c r="U280" i="3"/>
  <c r="K280" i="3"/>
  <c r="E280" i="3"/>
  <c r="B280" i="3"/>
  <c r="U279" i="3"/>
  <c r="K279" i="3"/>
  <c r="E279" i="3"/>
  <c r="B279" i="3"/>
  <c r="U278" i="3"/>
  <c r="K278" i="3"/>
  <c r="E278" i="3"/>
  <c r="B278" i="3"/>
  <c r="U277" i="3"/>
  <c r="K277" i="3"/>
  <c r="E277" i="3"/>
  <c r="B277" i="3"/>
  <c r="U276" i="3"/>
  <c r="K276" i="3"/>
  <c r="E276" i="3"/>
  <c r="B276" i="3"/>
  <c r="U275" i="3"/>
  <c r="K275" i="3"/>
  <c r="E275" i="3"/>
  <c r="B275" i="3"/>
  <c r="U274" i="3"/>
  <c r="K274" i="3"/>
  <c r="E274" i="3"/>
  <c r="B274" i="3"/>
  <c r="U273" i="3"/>
  <c r="K273" i="3"/>
  <c r="E273" i="3"/>
  <c r="B273" i="3"/>
  <c r="U272" i="3"/>
  <c r="K272" i="3"/>
  <c r="E272" i="3"/>
  <c r="B272" i="3"/>
  <c r="U271" i="3"/>
  <c r="K271" i="3"/>
  <c r="E271" i="3"/>
  <c r="B271" i="3"/>
  <c r="U270" i="3"/>
  <c r="K270" i="3"/>
  <c r="E270" i="3"/>
  <c r="B270" i="3"/>
  <c r="U269" i="3"/>
  <c r="K269" i="3"/>
  <c r="E269" i="3"/>
  <c r="B269" i="3"/>
  <c r="U268" i="3"/>
  <c r="K268" i="3"/>
  <c r="E268" i="3"/>
  <c r="B268" i="3"/>
  <c r="U267" i="3"/>
  <c r="K267" i="3"/>
  <c r="E267" i="3"/>
  <c r="B267" i="3"/>
  <c r="U266" i="3"/>
  <c r="K266" i="3"/>
  <c r="E266" i="3"/>
  <c r="B266" i="3"/>
  <c r="U265" i="3"/>
  <c r="K265" i="3"/>
  <c r="E265" i="3"/>
  <c r="B265" i="3"/>
  <c r="U264" i="3"/>
  <c r="K264" i="3"/>
  <c r="E264" i="3"/>
  <c r="B264" i="3"/>
  <c r="U263" i="3"/>
  <c r="K263" i="3"/>
  <c r="E263" i="3"/>
  <c r="B263" i="3"/>
  <c r="U262" i="3"/>
  <c r="K262" i="3"/>
  <c r="E262" i="3"/>
  <c r="B262" i="3"/>
  <c r="U261" i="3"/>
  <c r="K261" i="3"/>
  <c r="E261" i="3"/>
  <c r="B261" i="3"/>
  <c r="U260" i="3"/>
  <c r="K260" i="3"/>
  <c r="E260" i="3"/>
  <c r="B260" i="3"/>
  <c r="U259" i="3"/>
  <c r="K259" i="3"/>
  <c r="E259" i="3"/>
  <c r="B259" i="3"/>
  <c r="U258" i="3"/>
  <c r="K258" i="3"/>
  <c r="E258" i="3"/>
  <c r="B258" i="3"/>
  <c r="U257" i="3"/>
  <c r="K257" i="3"/>
  <c r="E257" i="3"/>
  <c r="B257" i="3"/>
  <c r="U256" i="3"/>
  <c r="K256" i="3"/>
  <c r="E256" i="3"/>
  <c r="B256" i="3"/>
  <c r="U255" i="3"/>
  <c r="K255" i="3"/>
  <c r="E255" i="3"/>
  <c r="B255" i="3"/>
  <c r="U254" i="3"/>
  <c r="K254" i="3"/>
  <c r="E254" i="3"/>
  <c r="B254" i="3"/>
  <c r="U253" i="3"/>
  <c r="K253" i="3"/>
  <c r="E253" i="3"/>
  <c r="B253" i="3"/>
  <c r="U252" i="3"/>
  <c r="K252" i="3"/>
  <c r="E252" i="3"/>
  <c r="B252" i="3"/>
  <c r="U251" i="3"/>
  <c r="K251" i="3"/>
  <c r="E251" i="3"/>
  <c r="B251" i="3"/>
  <c r="U250" i="3"/>
  <c r="K250" i="3"/>
  <c r="E250" i="3"/>
  <c r="B250" i="3"/>
  <c r="U249" i="3"/>
  <c r="K249" i="3"/>
  <c r="E249" i="3"/>
  <c r="B249" i="3"/>
  <c r="U248" i="3"/>
  <c r="K248" i="3"/>
  <c r="E248" i="3"/>
  <c r="B248" i="3"/>
  <c r="U247" i="3"/>
  <c r="K247" i="3"/>
  <c r="E247" i="3"/>
  <c r="B247" i="3"/>
  <c r="U246" i="3"/>
  <c r="K246" i="3"/>
  <c r="E246" i="3"/>
  <c r="B246" i="3"/>
  <c r="U245" i="3"/>
  <c r="K245" i="3"/>
  <c r="E245" i="3"/>
  <c r="B245" i="3"/>
  <c r="U244" i="3"/>
  <c r="K244" i="3"/>
  <c r="E244" i="3"/>
  <c r="B244" i="3"/>
  <c r="U243" i="3"/>
  <c r="K243" i="3"/>
  <c r="E243" i="3"/>
  <c r="B243" i="3"/>
  <c r="U242" i="3"/>
  <c r="K242" i="3"/>
  <c r="E242" i="3"/>
  <c r="B242" i="3"/>
  <c r="U241" i="3"/>
  <c r="K241" i="3"/>
  <c r="E241" i="3"/>
  <c r="B241" i="3"/>
  <c r="U240" i="3"/>
  <c r="K240" i="3"/>
  <c r="E240" i="3"/>
  <c r="B240" i="3"/>
  <c r="U239" i="3"/>
  <c r="K239" i="3"/>
  <c r="E239" i="3"/>
  <c r="B239" i="3"/>
  <c r="U238" i="3"/>
  <c r="K238" i="3"/>
  <c r="E238" i="3"/>
  <c r="B238" i="3"/>
  <c r="U237" i="3"/>
  <c r="K237" i="3"/>
  <c r="E237" i="3"/>
  <c r="B237" i="3"/>
  <c r="U236" i="3"/>
  <c r="K236" i="3"/>
  <c r="E236" i="3"/>
  <c r="B236" i="3"/>
  <c r="U235" i="3"/>
  <c r="K235" i="3"/>
  <c r="E235" i="3"/>
  <c r="B235" i="3"/>
  <c r="U234" i="3"/>
  <c r="K234" i="3"/>
  <c r="E234" i="3"/>
  <c r="B234" i="3"/>
  <c r="U233" i="3"/>
  <c r="K233" i="3"/>
  <c r="E233" i="3"/>
  <c r="B233" i="3"/>
  <c r="U232" i="3"/>
  <c r="K232" i="3"/>
  <c r="E232" i="3"/>
  <c r="B232" i="3"/>
  <c r="U231" i="3"/>
  <c r="K231" i="3"/>
  <c r="E231" i="3"/>
  <c r="B231" i="3"/>
  <c r="U230" i="3"/>
  <c r="K230" i="3"/>
  <c r="E230" i="3"/>
  <c r="B230" i="3"/>
  <c r="U229" i="3"/>
  <c r="K229" i="3"/>
  <c r="E229" i="3"/>
  <c r="B229" i="3"/>
  <c r="U228" i="3"/>
  <c r="K228" i="3"/>
  <c r="E228" i="3"/>
  <c r="B228" i="3"/>
  <c r="U227" i="3"/>
  <c r="K227" i="3"/>
  <c r="E227" i="3"/>
  <c r="B227" i="3"/>
  <c r="U226" i="3"/>
  <c r="K226" i="3"/>
  <c r="E226" i="3"/>
  <c r="B226" i="3"/>
  <c r="U225" i="3"/>
  <c r="K225" i="3"/>
  <c r="E225" i="3"/>
  <c r="B225" i="3"/>
  <c r="U224" i="3"/>
  <c r="K224" i="3"/>
  <c r="E224" i="3"/>
  <c r="B224" i="3"/>
  <c r="U223" i="3"/>
  <c r="K223" i="3"/>
  <c r="E223" i="3"/>
  <c r="B223" i="3"/>
  <c r="U222" i="3"/>
  <c r="K222" i="3"/>
  <c r="E222" i="3"/>
  <c r="B222" i="3"/>
  <c r="U221" i="3"/>
  <c r="K221" i="3"/>
  <c r="E221" i="3"/>
  <c r="B221" i="3"/>
  <c r="U220" i="3"/>
  <c r="K220" i="3"/>
  <c r="E220" i="3"/>
  <c r="B220" i="3"/>
  <c r="U219" i="3"/>
  <c r="K219" i="3"/>
  <c r="E219" i="3"/>
  <c r="B219" i="3"/>
  <c r="U218" i="3"/>
  <c r="K218" i="3"/>
  <c r="E218" i="3"/>
  <c r="B218" i="3"/>
  <c r="U217" i="3"/>
  <c r="K217" i="3"/>
  <c r="E217" i="3"/>
  <c r="B217" i="3"/>
  <c r="U216" i="3"/>
  <c r="K216" i="3"/>
  <c r="E216" i="3"/>
  <c r="B216" i="3"/>
  <c r="U215" i="3"/>
  <c r="K215" i="3"/>
  <c r="E215" i="3"/>
  <c r="B215" i="3"/>
  <c r="U214" i="3"/>
  <c r="K214" i="3"/>
  <c r="E214" i="3"/>
  <c r="B214" i="3"/>
  <c r="U213" i="3"/>
  <c r="K213" i="3"/>
  <c r="E213" i="3"/>
  <c r="B213" i="3"/>
  <c r="U212" i="3"/>
  <c r="K212" i="3"/>
  <c r="E212" i="3"/>
  <c r="B212" i="3"/>
  <c r="U211" i="3"/>
  <c r="K211" i="3"/>
  <c r="E211" i="3"/>
  <c r="B211" i="3"/>
  <c r="U210" i="3"/>
  <c r="K210" i="3"/>
  <c r="E210" i="3"/>
  <c r="B210" i="3"/>
  <c r="U209" i="3"/>
  <c r="K209" i="3"/>
  <c r="E209" i="3"/>
  <c r="B209" i="3"/>
  <c r="U208" i="3"/>
  <c r="K208" i="3"/>
  <c r="E208" i="3"/>
  <c r="B208" i="3"/>
  <c r="U207" i="3"/>
  <c r="K207" i="3"/>
  <c r="E207" i="3"/>
  <c r="B207" i="3"/>
  <c r="U206" i="3"/>
  <c r="K206" i="3"/>
  <c r="E206" i="3"/>
  <c r="B206" i="3"/>
  <c r="U205" i="3"/>
  <c r="K205" i="3"/>
  <c r="E205" i="3"/>
  <c r="B205" i="3"/>
  <c r="U204" i="3"/>
  <c r="K204" i="3"/>
  <c r="E204" i="3"/>
  <c r="B204" i="3"/>
  <c r="U203" i="3"/>
  <c r="K203" i="3"/>
  <c r="E203" i="3"/>
  <c r="B203" i="3"/>
  <c r="U202" i="3"/>
  <c r="K202" i="3"/>
  <c r="E202" i="3"/>
  <c r="B202" i="3"/>
  <c r="U201" i="3"/>
  <c r="K201" i="3"/>
  <c r="E201" i="3"/>
  <c r="B201" i="3"/>
  <c r="U200" i="3"/>
  <c r="K200" i="3"/>
  <c r="E200" i="3"/>
  <c r="B200" i="3"/>
  <c r="U199" i="3"/>
  <c r="K199" i="3"/>
  <c r="E199" i="3"/>
  <c r="B199" i="3"/>
  <c r="U198" i="3"/>
  <c r="K198" i="3"/>
  <c r="E198" i="3"/>
  <c r="B198" i="3"/>
  <c r="U197" i="3"/>
  <c r="K197" i="3"/>
  <c r="E197" i="3"/>
  <c r="B197" i="3"/>
  <c r="U196" i="3"/>
  <c r="K196" i="3"/>
  <c r="E196" i="3"/>
  <c r="B196" i="3"/>
  <c r="U195" i="3"/>
  <c r="K195" i="3"/>
  <c r="E195" i="3"/>
  <c r="B195" i="3"/>
  <c r="U194" i="3"/>
  <c r="K194" i="3"/>
  <c r="E194" i="3"/>
  <c r="B194" i="3"/>
  <c r="U193" i="3"/>
  <c r="K193" i="3"/>
  <c r="E193" i="3"/>
  <c r="B193" i="3"/>
  <c r="U192" i="3"/>
  <c r="K192" i="3"/>
  <c r="E192" i="3"/>
  <c r="B192" i="3"/>
  <c r="U191" i="3"/>
  <c r="K191" i="3"/>
  <c r="E191" i="3"/>
  <c r="B191" i="3"/>
  <c r="U190" i="3"/>
  <c r="K190" i="3"/>
  <c r="E190" i="3"/>
  <c r="B190" i="3"/>
  <c r="U189" i="3"/>
  <c r="K189" i="3"/>
  <c r="E189" i="3"/>
  <c r="B189" i="3"/>
  <c r="U188" i="3"/>
  <c r="K188" i="3"/>
  <c r="E188" i="3"/>
  <c r="B188" i="3"/>
  <c r="U187" i="3"/>
  <c r="K187" i="3"/>
  <c r="E187" i="3"/>
  <c r="B187" i="3"/>
  <c r="U186" i="3"/>
  <c r="K186" i="3"/>
  <c r="E186" i="3"/>
  <c r="B186" i="3"/>
  <c r="U185" i="3"/>
  <c r="K185" i="3"/>
  <c r="E185" i="3"/>
  <c r="B185" i="3"/>
  <c r="U184" i="3"/>
  <c r="K184" i="3"/>
  <c r="E184" i="3"/>
  <c r="B184" i="3"/>
  <c r="U183" i="3"/>
  <c r="K183" i="3"/>
  <c r="E183" i="3"/>
  <c r="B183" i="3"/>
  <c r="U182" i="3"/>
  <c r="K182" i="3"/>
  <c r="E182" i="3"/>
  <c r="B182" i="3"/>
  <c r="U181" i="3"/>
  <c r="K181" i="3"/>
  <c r="E181" i="3"/>
  <c r="B181" i="3"/>
  <c r="U180" i="3"/>
  <c r="K180" i="3"/>
  <c r="E180" i="3"/>
  <c r="B180" i="3"/>
  <c r="U179" i="3"/>
  <c r="K179" i="3"/>
  <c r="E179" i="3"/>
  <c r="B179" i="3"/>
  <c r="U178" i="3"/>
  <c r="K178" i="3"/>
  <c r="E178" i="3"/>
  <c r="B178" i="3"/>
  <c r="U177" i="3"/>
  <c r="K177" i="3"/>
  <c r="E177" i="3"/>
  <c r="B177" i="3"/>
  <c r="U176" i="3"/>
  <c r="K176" i="3"/>
  <c r="E176" i="3"/>
  <c r="B176" i="3"/>
  <c r="U175" i="3"/>
  <c r="K175" i="3"/>
  <c r="E175" i="3"/>
  <c r="B175" i="3"/>
  <c r="U174" i="3"/>
  <c r="K174" i="3"/>
  <c r="E174" i="3"/>
  <c r="B174" i="3"/>
  <c r="U173" i="3"/>
  <c r="K173" i="3"/>
  <c r="E173" i="3"/>
  <c r="B173" i="3"/>
  <c r="U172" i="3"/>
  <c r="K172" i="3"/>
  <c r="E172" i="3"/>
  <c r="B172" i="3"/>
  <c r="U171" i="3"/>
  <c r="K171" i="3"/>
  <c r="E171" i="3"/>
  <c r="B171" i="3"/>
  <c r="U170" i="3"/>
  <c r="K170" i="3"/>
  <c r="E170" i="3"/>
  <c r="B170" i="3"/>
  <c r="U169" i="3"/>
  <c r="K169" i="3"/>
  <c r="E169" i="3"/>
  <c r="B169" i="3"/>
  <c r="U168" i="3"/>
  <c r="K168" i="3"/>
  <c r="E168" i="3"/>
  <c r="B168" i="3"/>
  <c r="U167" i="3"/>
  <c r="K167" i="3"/>
  <c r="E167" i="3"/>
  <c r="B167" i="3"/>
  <c r="U166" i="3"/>
  <c r="K166" i="3"/>
  <c r="E166" i="3"/>
  <c r="B166" i="3"/>
  <c r="U165" i="3"/>
  <c r="K165" i="3"/>
  <c r="E165" i="3"/>
  <c r="B165" i="3"/>
  <c r="U164" i="3"/>
  <c r="K164" i="3"/>
  <c r="E164" i="3"/>
  <c r="B164" i="3"/>
  <c r="U163" i="3"/>
  <c r="K163" i="3"/>
  <c r="E163" i="3"/>
  <c r="B163" i="3"/>
  <c r="U162" i="3"/>
  <c r="K162" i="3"/>
  <c r="E162" i="3"/>
  <c r="B162" i="3"/>
  <c r="U161" i="3"/>
  <c r="K161" i="3"/>
  <c r="E161" i="3"/>
  <c r="B161" i="3"/>
  <c r="U160" i="3"/>
  <c r="K160" i="3"/>
  <c r="E160" i="3"/>
  <c r="B160" i="3"/>
  <c r="U159" i="3"/>
  <c r="K159" i="3"/>
  <c r="E159" i="3"/>
  <c r="B159" i="3"/>
  <c r="U158" i="3"/>
  <c r="K158" i="3"/>
  <c r="E158" i="3"/>
  <c r="B158" i="3"/>
  <c r="U157" i="3"/>
  <c r="K157" i="3"/>
  <c r="E157" i="3"/>
  <c r="B157" i="3"/>
  <c r="U156" i="3"/>
  <c r="K156" i="3"/>
  <c r="E156" i="3"/>
  <c r="B156" i="3"/>
  <c r="U155" i="3"/>
  <c r="K155" i="3"/>
  <c r="E155" i="3"/>
  <c r="B155" i="3"/>
  <c r="U154" i="3"/>
  <c r="K154" i="3"/>
  <c r="E154" i="3"/>
  <c r="B154" i="3"/>
  <c r="U153" i="3"/>
  <c r="K153" i="3"/>
  <c r="E153" i="3"/>
  <c r="B153" i="3"/>
  <c r="U152" i="3"/>
  <c r="K152" i="3"/>
  <c r="E152" i="3"/>
  <c r="B152" i="3"/>
  <c r="U151" i="3"/>
  <c r="K151" i="3"/>
  <c r="E151" i="3"/>
  <c r="B151" i="3"/>
  <c r="U150" i="3"/>
  <c r="K150" i="3"/>
  <c r="E150" i="3"/>
  <c r="B150" i="3"/>
  <c r="U149" i="3"/>
  <c r="K149" i="3"/>
  <c r="E149" i="3"/>
  <c r="B149" i="3"/>
  <c r="U148" i="3"/>
  <c r="K148" i="3"/>
  <c r="E148" i="3"/>
  <c r="B148" i="3"/>
  <c r="U147" i="3"/>
  <c r="K147" i="3"/>
  <c r="E147" i="3"/>
  <c r="B147" i="3"/>
  <c r="U146" i="3"/>
  <c r="K146" i="3"/>
  <c r="E146" i="3"/>
  <c r="B146" i="3"/>
  <c r="U145" i="3"/>
  <c r="K145" i="3"/>
  <c r="E145" i="3"/>
  <c r="B145" i="3"/>
  <c r="U144" i="3"/>
  <c r="K144" i="3"/>
  <c r="E144" i="3"/>
  <c r="B144" i="3"/>
  <c r="U143" i="3"/>
  <c r="K143" i="3"/>
  <c r="E143" i="3"/>
  <c r="B143" i="3"/>
  <c r="U142" i="3"/>
  <c r="K142" i="3"/>
  <c r="E142" i="3"/>
  <c r="B142" i="3"/>
  <c r="U141" i="3"/>
  <c r="K141" i="3"/>
  <c r="E141" i="3"/>
  <c r="B141" i="3"/>
  <c r="U140" i="3"/>
  <c r="K140" i="3"/>
  <c r="E140" i="3"/>
  <c r="B140" i="3"/>
  <c r="U139" i="3"/>
  <c r="K139" i="3"/>
  <c r="E139" i="3"/>
  <c r="B139" i="3"/>
  <c r="U138" i="3"/>
  <c r="K138" i="3"/>
  <c r="E138" i="3"/>
  <c r="B138" i="3"/>
  <c r="U137" i="3"/>
  <c r="K137" i="3"/>
  <c r="E137" i="3"/>
  <c r="B137" i="3"/>
  <c r="U136" i="3"/>
  <c r="K136" i="3"/>
  <c r="E136" i="3"/>
  <c r="B136" i="3"/>
  <c r="U135" i="3"/>
  <c r="K135" i="3"/>
  <c r="E135" i="3"/>
  <c r="B135" i="3"/>
  <c r="U134" i="3"/>
  <c r="K134" i="3"/>
  <c r="E134" i="3"/>
  <c r="B134" i="3"/>
  <c r="U133" i="3"/>
  <c r="K133" i="3"/>
  <c r="E133" i="3"/>
  <c r="B133" i="3"/>
  <c r="U132" i="3"/>
  <c r="K132" i="3"/>
  <c r="E132" i="3"/>
  <c r="B132" i="3"/>
  <c r="U131" i="3"/>
  <c r="K131" i="3"/>
  <c r="E131" i="3"/>
  <c r="B131" i="3"/>
  <c r="U130" i="3"/>
  <c r="K130" i="3"/>
  <c r="E130" i="3"/>
  <c r="B130" i="3"/>
  <c r="U129" i="3"/>
  <c r="K129" i="3"/>
  <c r="E129" i="3"/>
  <c r="B129" i="3"/>
  <c r="U128" i="3"/>
  <c r="K128" i="3"/>
  <c r="E128" i="3"/>
  <c r="B128" i="3"/>
  <c r="U127" i="3"/>
  <c r="K127" i="3"/>
  <c r="E127" i="3"/>
  <c r="B127" i="3"/>
  <c r="U126" i="3"/>
  <c r="K126" i="3"/>
  <c r="E126" i="3"/>
  <c r="B126" i="3"/>
  <c r="U125" i="3"/>
  <c r="K125" i="3"/>
  <c r="E125" i="3"/>
  <c r="B125" i="3"/>
  <c r="U124" i="3"/>
  <c r="K124" i="3"/>
  <c r="E124" i="3"/>
  <c r="B124" i="3"/>
  <c r="U123" i="3"/>
  <c r="K123" i="3"/>
  <c r="E123" i="3"/>
  <c r="B123" i="3"/>
  <c r="U122" i="3"/>
  <c r="K122" i="3"/>
  <c r="E122" i="3"/>
  <c r="B122" i="3"/>
  <c r="U121" i="3"/>
  <c r="K121" i="3"/>
  <c r="E121" i="3"/>
  <c r="B121" i="3"/>
  <c r="U120" i="3"/>
  <c r="K120" i="3"/>
  <c r="E120" i="3"/>
  <c r="B120" i="3"/>
  <c r="U119" i="3"/>
  <c r="K119" i="3"/>
  <c r="E119" i="3"/>
  <c r="B119" i="3"/>
  <c r="U118" i="3"/>
  <c r="K118" i="3"/>
  <c r="E118" i="3"/>
  <c r="B118" i="3"/>
  <c r="U117" i="3"/>
  <c r="K117" i="3"/>
  <c r="E117" i="3"/>
  <c r="B117" i="3"/>
  <c r="U116" i="3"/>
  <c r="K116" i="3"/>
  <c r="E116" i="3"/>
  <c r="B116" i="3"/>
  <c r="U115" i="3"/>
  <c r="K115" i="3"/>
  <c r="E115" i="3"/>
  <c r="B115" i="3"/>
  <c r="U114" i="3"/>
  <c r="K114" i="3"/>
  <c r="E114" i="3"/>
  <c r="B114" i="3"/>
  <c r="U113" i="3"/>
  <c r="K113" i="3"/>
  <c r="E113" i="3"/>
  <c r="B113" i="3"/>
  <c r="U112" i="3"/>
  <c r="K112" i="3"/>
  <c r="E112" i="3"/>
  <c r="B112" i="3"/>
  <c r="U111" i="3"/>
  <c r="K111" i="3"/>
  <c r="E111" i="3"/>
  <c r="B111" i="3"/>
  <c r="U110" i="3"/>
  <c r="K110" i="3"/>
  <c r="E110" i="3"/>
  <c r="B110" i="3"/>
  <c r="U109" i="3"/>
  <c r="K109" i="3"/>
  <c r="E109" i="3"/>
  <c r="B109" i="3"/>
  <c r="U108" i="3"/>
  <c r="K108" i="3"/>
  <c r="E108" i="3"/>
  <c r="B108" i="3"/>
  <c r="U107" i="3"/>
  <c r="K107" i="3"/>
  <c r="E107" i="3"/>
  <c r="B107" i="3"/>
  <c r="U106" i="3"/>
  <c r="K106" i="3"/>
  <c r="E106" i="3"/>
  <c r="B106" i="3"/>
  <c r="U105" i="3"/>
  <c r="K105" i="3"/>
  <c r="E105" i="3"/>
  <c r="B105" i="3"/>
  <c r="U104" i="3"/>
  <c r="K104" i="3"/>
  <c r="E104" i="3"/>
  <c r="B104" i="3"/>
  <c r="U103" i="3"/>
  <c r="K103" i="3"/>
  <c r="E103" i="3"/>
  <c r="B103" i="3"/>
  <c r="U102" i="3"/>
  <c r="K102" i="3"/>
  <c r="E102" i="3"/>
  <c r="B102" i="3"/>
  <c r="U101" i="3"/>
  <c r="K101" i="3"/>
  <c r="E101" i="3"/>
  <c r="B101" i="3"/>
  <c r="U100" i="3"/>
  <c r="K100" i="3"/>
  <c r="E100" i="3"/>
  <c r="B100" i="3"/>
  <c r="U99" i="3"/>
  <c r="K99" i="3"/>
  <c r="E99" i="3"/>
  <c r="B99" i="3"/>
  <c r="U98" i="3"/>
  <c r="K98" i="3"/>
  <c r="E98" i="3"/>
  <c r="B98" i="3"/>
  <c r="U97" i="3"/>
  <c r="K97" i="3"/>
  <c r="E97" i="3"/>
  <c r="B97" i="3"/>
  <c r="U96" i="3"/>
  <c r="K96" i="3"/>
  <c r="E96" i="3"/>
  <c r="B96" i="3"/>
  <c r="U95" i="3"/>
  <c r="K95" i="3"/>
  <c r="E95" i="3"/>
  <c r="B95" i="3"/>
  <c r="U94" i="3"/>
  <c r="K94" i="3"/>
  <c r="E94" i="3"/>
  <c r="B94" i="3"/>
  <c r="U93" i="3"/>
  <c r="K93" i="3"/>
  <c r="E93" i="3"/>
  <c r="B93" i="3"/>
  <c r="U92" i="3"/>
  <c r="K92" i="3"/>
  <c r="E92" i="3"/>
  <c r="B92" i="3"/>
  <c r="U91" i="3"/>
  <c r="K91" i="3"/>
  <c r="E91" i="3"/>
  <c r="B91" i="3"/>
  <c r="K90" i="3"/>
  <c r="E90" i="3"/>
  <c r="B90" i="3"/>
  <c r="U89" i="3"/>
  <c r="K89" i="3"/>
  <c r="E89" i="3"/>
  <c r="B89" i="3"/>
  <c r="U88" i="3"/>
  <c r="K88" i="3"/>
  <c r="E88" i="3"/>
  <c r="B88" i="3"/>
  <c r="U87" i="3"/>
  <c r="K87" i="3"/>
  <c r="E87" i="3"/>
  <c r="B87" i="3"/>
  <c r="U86" i="3"/>
  <c r="K86" i="3"/>
  <c r="E86" i="3"/>
  <c r="B86" i="3"/>
  <c r="U85" i="3"/>
  <c r="K85" i="3"/>
  <c r="E85" i="3"/>
  <c r="B85" i="3"/>
  <c r="U84" i="3"/>
  <c r="K84" i="3"/>
  <c r="E84" i="3"/>
  <c r="B84" i="3"/>
  <c r="K83" i="3"/>
  <c r="E83" i="3"/>
  <c r="B83" i="3"/>
  <c r="U82" i="3"/>
  <c r="K82" i="3"/>
  <c r="E82" i="3"/>
  <c r="B82" i="3"/>
  <c r="U81" i="3"/>
  <c r="K81" i="3"/>
  <c r="E81" i="3"/>
  <c r="B81" i="3"/>
  <c r="U80" i="3"/>
  <c r="K80" i="3"/>
  <c r="E80" i="3"/>
  <c r="B80" i="3"/>
  <c r="U79" i="3"/>
  <c r="K79" i="3"/>
  <c r="E79" i="3"/>
  <c r="B79" i="3"/>
  <c r="U78" i="3"/>
  <c r="K78" i="3"/>
  <c r="E78" i="3"/>
  <c r="B78" i="3"/>
  <c r="U77" i="3"/>
  <c r="K77" i="3"/>
  <c r="E77" i="3"/>
  <c r="B77" i="3"/>
  <c r="U76" i="3"/>
  <c r="K76" i="3"/>
  <c r="E76" i="3"/>
  <c r="B76" i="3"/>
  <c r="U75" i="3"/>
  <c r="K75" i="3"/>
  <c r="E75" i="3"/>
  <c r="B75" i="3"/>
  <c r="U74" i="3"/>
  <c r="K74" i="3"/>
  <c r="E74" i="3"/>
  <c r="B74" i="3"/>
  <c r="U73" i="3"/>
  <c r="K73" i="3"/>
  <c r="E73" i="3"/>
  <c r="B73" i="3"/>
  <c r="U72" i="3"/>
  <c r="K72" i="3"/>
  <c r="E72" i="3"/>
  <c r="B72" i="3"/>
  <c r="U71" i="3"/>
  <c r="K71" i="3"/>
  <c r="E71" i="3"/>
  <c r="B71" i="3"/>
  <c r="U70" i="3"/>
  <c r="K70" i="3"/>
  <c r="E70" i="3"/>
  <c r="B70" i="3"/>
  <c r="U69" i="3"/>
  <c r="K69" i="3"/>
  <c r="E69" i="3"/>
  <c r="B69" i="3"/>
  <c r="U68" i="3"/>
  <c r="K68" i="3"/>
  <c r="E68" i="3"/>
  <c r="B68" i="3"/>
  <c r="U67" i="3"/>
  <c r="K67" i="3"/>
  <c r="E67" i="3"/>
  <c r="B67" i="3"/>
  <c r="U66" i="3"/>
  <c r="K66" i="3"/>
  <c r="E66" i="3"/>
  <c r="B66" i="3"/>
  <c r="U65" i="3"/>
  <c r="K65" i="3"/>
  <c r="E65" i="3"/>
  <c r="B65" i="3"/>
  <c r="U64" i="3"/>
  <c r="K64" i="3"/>
  <c r="E64" i="3"/>
  <c r="B64" i="3"/>
  <c r="U63" i="3"/>
  <c r="K63" i="3"/>
  <c r="E63" i="3"/>
  <c r="B63" i="3"/>
  <c r="U62" i="3"/>
  <c r="K62" i="3"/>
  <c r="E62" i="3"/>
  <c r="B62" i="3"/>
  <c r="U61" i="3"/>
  <c r="K61" i="3"/>
  <c r="E61" i="3"/>
  <c r="B61" i="3"/>
  <c r="U60" i="3"/>
  <c r="K60" i="3"/>
  <c r="E60" i="3"/>
  <c r="B60" i="3"/>
  <c r="U59" i="3"/>
  <c r="K59" i="3"/>
  <c r="E59" i="3"/>
  <c r="B59" i="3"/>
  <c r="U58" i="3"/>
  <c r="K58" i="3"/>
  <c r="E58" i="3"/>
  <c r="B58" i="3"/>
  <c r="U57" i="3"/>
  <c r="K57" i="3"/>
  <c r="E57" i="3"/>
  <c r="B57" i="3"/>
  <c r="U56" i="3"/>
  <c r="K56" i="3"/>
  <c r="E56" i="3"/>
  <c r="B56" i="3"/>
  <c r="U55" i="3"/>
  <c r="K55" i="3"/>
  <c r="E55" i="3"/>
  <c r="B55" i="3"/>
  <c r="U54" i="3"/>
  <c r="K54" i="3"/>
  <c r="E54" i="3"/>
  <c r="B54" i="3"/>
  <c r="U53" i="3"/>
  <c r="K53" i="3"/>
  <c r="E53" i="3"/>
  <c r="B53" i="3"/>
  <c r="U52" i="3"/>
  <c r="K52" i="3"/>
  <c r="E52" i="3"/>
  <c r="B52" i="3"/>
  <c r="U51" i="3"/>
  <c r="K51" i="3"/>
  <c r="E51" i="3"/>
  <c r="B51" i="3"/>
  <c r="U50" i="3"/>
  <c r="K50" i="3"/>
  <c r="E50" i="3"/>
  <c r="B50" i="3"/>
  <c r="U49" i="3"/>
  <c r="K49" i="3"/>
  <c r="E49" i="3"/>
  <c r="B49" i="3"/>
  <c r="U48" i="3"/>
  <c r="K48" i="3"/>
  <c r="E48" i="3"/>
  <c r="B48" i="3"/>
  <c r="U47" i="3"/>
  <c r="K47" i="3"/>
  <c r="E47" i="3"/>
  <c r="B47" i="3"/>
  <c r="U46" i="3"/>
  <c r="K46" i="3"/>
  <c r="E46" i="3"/>
  <c r="B46" i="3"/>
  <c r="U45" i="3"/>
  <c r="K45" i="3"/>
  <c r="E45" i="3"/>
  <c r="B45" i="3"/>
  <c r="U44" i="3"/>
  <c r="K44" i="3"/>
  <c r="E44" i="3"/>
  <c r="B44" i="3"/>
  <c r="U43" i="3"/>
  <c r="K43" i="3"/>
  <c r="E43" i="3"/>
  <c r="B43" i="3"/>
  <c r="U42" i="3"/>
  <c r="K42" i="3"/>
  <c r="E42" i="3"/>
  <c r="B42" i="3"/>
  <c r="U41" i="3"/>
  <c r="K41" i="3"/>
  <c r="E41" i="3"/>
  <c r="B41" i="3"/>
  <c r="U40" i="3"/>
  <c r="K40" i="3"/>
  <c r="E40" i="3"/>
  <c r="B40" i="3"/>
  <c r="U39" i="3"/>
  <c r="K39" i="3"/>
  <c r="E39" i="3"/>
  <c r="B39" i="3"/>
  <c r="U38" i="3"/>
  <c r="K38" i="3"/>
  <c r="E38" i="3"/>
  <c r="B38" i="3"/>
  <c r="U37" i="3"/>
  <c r="K37" i="3"/>
  <c r="E37" i="3"/>
  <c r="B37" i="3"/>
  <c r="U36" i="3"/>
  <c r="K36" i="3"/>
  <c r="E36" i="3"/>
  <c r="B36" i="3"/>
  <c r="U35" i="3"/>
  <c r="K35" i="3"/>
  <c r="E35" i="3"/>
  <c r="B35" i="3"/>
  <c r="U34" i="3"/>
  <c r="K34" i="3"/>
  <c r="E34" i="3"/>
  <c r="B34" i="3"/>
  <c r="U33" i="3"/>
  <c r="K33" i="3"/>
  <c r="E33" i="3"/>
  <c r="B33" i="3"/>
  <c r="U32" i="3"/>
  <c r="K32" i="3"/>
  <c r="E32" i="3"/>
  <c r="B32" i="3"/>
  <c r="U31" i="3"/>
  <c r="K31" i="3"/>
  <c r="E31" i="3"/>
  <c r="B31" i="3"/>
  <c r="U30" i="3"/>
  <c r="K30" i="3"/>
  <c r="E30" i="3"/>
  <c r="B30" i="3"/>
  <c r="U29" i="3"/>
  <c r="K29" i="3"/>
  <c r="E29" i="3"/>
  <c r="B29" i="3"/>
  <c r="U28" i="3"/>
  <c r="K28" i="3"/>
  <c r="E28" i="3"/>
  <c r="B28" i="3"/>
  <c r="U27" i="3"/>
  <c r="K27" i="3"/>
  <c r="E27" i="3"/>
  <c r="B27" i="3"/>
  <c r="U26" i="3"/>
  <c r="K26" i="3"/>
  <c r="E26" i="3"/>
  <c r="B26" i="3"/>
  <c r="U25" i="3"/>
  <c r="K25" i="3"/>
  <c r="E25" i="3"/>
  <c r="B25" i="3"/>
  <c r="U24" i="3"/>
  <c r="K24" i="3"/>
  <c r="E24" i="3"/>
  <c r="B24" i="3"/>
  <c r="U23" i="3"/>
  <c r="K23" i="3"/>
  <c r="E23" i="3"/>
  <c r="B23" i="3"/>
  <c r="U22" i="3"/>
  <c r="K22" i="3"/>
  <c r="E22" i="3"/>
  <c r="B22" i="3"/>
  <c r="U21" i="3"/>
  <c r="K21" i="3"/>
  <c r="E21" i="3"/>
  <c r="B21" i="3"/>
  <c r="U20" i="3"/>
  <c r="K20" i="3"/>
  <c r="E20" i="3"/>
  <c r="B20" i="3"/>
  <c r="U19" i="3"/>
  <c r="K19" i="3"/>
  <c r="E19" i="3"/>
  <c r="B19" i="3"/>
  <c r="U18" i="3"/>
  <c r="K18" i="3"/>
  <c r="E18" i="3"/>
  <c r="B18" i="3"/>
  <c r="U17" i="3"/>
  <c r="K17" i="3"/>
  <c r="E17" i="3"/>
  <c r="B17" i="3"/>
  <c r="U16" i="3"/>
  <c r="K16" i="3"/>
  <c r="E16" i="3"/>
  <c r="B16" i="3"/>
  <c r="U15" i="3"/>
  <c r="K15" i="3"/>
  <c r="E15" i="3"/>
  <c r="B15" i="3"/>
  <c r="U14" i="3"/>
  <c r="K14" i="3"/>
  <c r="E14" i="3"/>
  <c r="B14" i="3"/>
  <c r="U13" i="3"/>
  <c r="K13" i="3"/>
  <c r="E13" i="3"/>
  <c r="B13" i="3"/>
  <c r="U12" i="3"/>
  <c r="K12" i="3"/>
  <c r="E12" i="3"/>
  <c r="B12" i="3"/>
  <c r="U11" i="3"/>
  <c r="K11" i="3"/>
  <c r="E11" i="3"/>
  <c r="B11" i="3"/>
  <c r="U10" i="3"/>
  <c r="K10" i="3"/>
  <c r="E10" i="3"/>
  <c r="B10" i="3"/>
  <c r="U9" i="3"/>
  <c r="K9" i="3"/>
  <c r="E9" i="3"/>
  <c r="B9" i="3"/>
  <c r="U8" i="3"/>
  <c r="K8" i="3"/>
  <c r="E8" i="3"/>
  <c r="B8" i="3"/>
  <c r="U7" i="3"/>
  <c r="K7" i="3"/>
  <c r="E7" i="3"/>
  <c r="B7" i="3"/>
  <c r="U6" i="3"/>
  <c r="K6" i="3"/>
  <c r="E6" i="3"/>
  <c r="B6" i="3"/>
  <c r="U5" i="3"/>
  <c r="K5" i="3"/>
  <c r="E5" i="3"/>
  <c r="B5" i="3"/>
  <c r="U4" i="3"/>
  <c r="K4" i="3"/>
  <c r="E4" i="3"/>
  <c r="B4" i="3"/>
  <c r="U3" i="3"/>
  <c r="K3" i="3"/>
  <c r="E3" i="3"/>
  <c r="B3" i="3"/>
</calcChain>
</file>

<file path=xl/sharedStrings.xml><?xml version="1.0" encoding="utf-8"?>
<sst xmlns="http://schemas.openxmlformats.org/spreadsheetml/2006/main" count="12101" uniqueCount="8368">
  <si>
    <t>Date</t>
  </si>
  <si>
    <t>Twitter Query: "Pablo Casado" lang:es -filter:retweets -filter:replies</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</si>
  <si>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</si>
  <si>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</si>
  <si>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</si>
  <si>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</si>
  <si>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</si>
  <si>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</si>
  <si>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</si>
  <si>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</si>
  <si>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</si>
  <si>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</si>
  <si>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</si>
  <si>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</si>
  <si>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</si>
  <si>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</si>
  <si>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</si>
  <si>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</si>
  <si>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</si>
  <si>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</si>
  <si>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</si>
  <si>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</si>
  <si>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Francisco Romero</t>
  </si>
  <si>
    <t>Acto de Pablo Casado en Almería, en directo</t>
  </si>
  <si>
    <t>http://dlvr.it/QrxJ0W</t>
  </si>
  <si>
    <t>https://pbs.twimg.com/media/DssgCbJU0AAu1O2.png</t>
  </si>
  <si>
    <t>Madrid, Comunidad de Madrid</t>
  </si>
  <si>
    <t>Kike Málaga</t>
  </si>
  <si>
    <t>Funcionario. Pensando que se puede cambiar el mundo si todos lo intentamos un poco #Padre de #Andrea y amante del Padel</t>
  </si>
  <si>
    <t>España</t>
  </si>
  <si>
    <t>Pasión por la geología.Mis montañas me lo cuentan todo.Explorador. Consejero D.Centro PP Málaga</t>
  </si>
  <si>
    <t>MARISA #SiALaVida♥🇪🇸🇪🇸🇪🇸</t>
  </si>
  <si>
    <t>Brexit: Pablo Casado reprocha a Pedro Sánchez que "no llegue a tiempo" a un acuerdo sobre Gibraltar favorable</t>
  </si>
  <si>
    <t>https://okdiario.com/espana/2018/11/23/casado-reprocha-sanchez-que-no-llegue-tiempo-acuerdo-sobre-gibraltar-favorable-3383292#.W_gS2UwbnJw.twitter</t>
  </si>
  <si>
    <t>JM Álvarez</t>
  </si>
  <si>
    <t>Valencia (Spain)</t>
  </si>
  <si>
    <t>CATÓLICA, orgullosa de serlo. DE DERECHAS. Me gusta leer y viajar. ESPAÑA es mi Pais y PARIS es mi ciudad.</t>
  </si>
  <si>
    <t>La Barca</t>
  </si>
  <si>
    <t>internacionalista</t>
  </si>
  <si>
    <t>Mbb</t>
  </si>
  <si>
    <t>http://jmalvarezblog.blogspot.com/</t>
  </si>
  <si>
    <t>Las mentiras de Pablo Casado sobre la renovación del Poder Judicial y el ‘wasap’ de Cosidó</t>
  </si>
  <si>
    <t>https://www.eldiario.es/escolar/Pablo-Casado-Poder-Judicial-Cosido_6_838576166.html</t>
  </si>
  <si>
    <t>Maestro de primaria.</t>
  </si>
  <si>
    <t>🎗tombotu</t>
  </si>
  <si>
    <t>OPINIÓN | Las mentiras de Pablo Casado sobre la renovación del Poder Judicial y el ‘wasap’ de Cosidó, por Ignacio Escolar  vía @iescolar</t>
  </si>
  <si>
    <t>Cabra, España</t>
  </si>
  <si>
    <t>https://m.eldiario.es/_31fba826</t>
  </si>
  <si>
    <t>Feminista, licenciada en filosofia i estudiant ciencies polítiques. Federalista.</t>
  </si>
  <si>
    <t>María Garcia</t>
  </si>
  <si>
    <t>pablenin</t>
  </si>
  <si>
    <t>http://dlvr.it/QrxGC2</t>
  </si>
  <si>
    <t>https://pbs.twimg.com/media/Dssd1zEVYAUGitW.png</t>
  </si>
  <si>
    <t>Para los que no tenemos creencias, la democracia es nuestra religión.</t>
  </si>
  <si>
    <t>Que alguien le cambie la medicación al abuelo !!! @pablocasado_ y sus chorradas diarias ...@EU_Commission @CasaReal @CiudadanosCs @PSOE @PPopular</t>
  </si>
  <si>
    <t>https://www.elconfidencial.com/espana/2018-11-23/brexit-pablo-casado-apoyo-gobierno-veto_1664574/</t>
  </si>
  <si>
    <t>rokoten</t>
  </si>
  <si>
    <t>https://okdiario.com/espana/2018/11/23/casado-reprocha-sanchez-que-no-llegue-tiempo-acuerdo-sobre-gibraltar-favorable-3383292#.W_gQE6C1JtQ.twitter</t>
  </si>
  <si>
    <t>I've done it</t>
  </si>
  <si>
    <t>LexTresAbogados</t>
  </si>
  <si>
    <t>Sant Esteve de les Roures</t>
  </si>
  <si>
    <t>https://okdiario.com/espana/2018/11/23/casado-reprocha-sanchez-que-no-llegue-tiempo-acuerdo-sobre-gibraltar-favorable-3383292#.W_gPsQT-vvo.twitter</t>
  </si>
  <si>
    <t>Valencia, España</t>
  </si>
  <si>
    <t>#LexTresAbogados prestamos: #servicios de #auditoría #asesoramiento #legal #fiscal #Laboral #financiero y de #negocio con una clara #focalización #sectorial</t>
  </si>
  <si>
    <t>http://www.lextres.com</t>
  </si>
  <si>
    <t>noticiasgibraltar</t>
  </si>
  <si>
    <t>Pablo Casado (PP) apoyará al Gobierno en el veto al acuerdo del Brexit, aunque lo haga “tarde y mal”, mientras que el alcalde de Algeciras, José Ignacio Landaluce, se ha quejado por la falta de información y por las sorpresas que encierra el acuerdo</t>
  </si>
  <si>
    <t>https://noticiasgibraltar.es/campo-gibraltar/noticias/3978/casado-apoyara-al-gobierno-aunque-haga-tarde-y-mal-y-landaluce-se</t>
  </si>
  <si>
    <t>https://pbs.twimg.com/media/DssbmI5XQAEjZnu.jpg</t>
  </si>
  <si>
    <t>Caracas, Venezuela</t>
  </si>
  <si>
    <t>http://noticiasgibraltar.es</t>
  </si>
  <si>
    <t>Populares de Almeria</t>
  </si>
  <si>
    <t>Oscar Ferreiro</t>
  </si>
  <si>
    <t>Parece que Pablo Casado está pidiendo algo del estilo: "Eh tío, escupiste a mi colega, te voy a partir la cara".</t>
  </si>
  <si>
    <t>✅</t>
  </si>
  <si>
    <t>A Coruña</t>
  </si>
  <si>
    <t>Madrid</t>
  </si>
  <si>
    <t>Almería</t>
  </si>
  <si>
    <t>Twitter oficial de la primera fuerza política de la provincia de Almería. Síguenos en twitter @PP_Almeria y facebook http://www.facebook.com/ppalmeria</t>
  </si>
  <si>
    <t>http://www.ppalmeria.com</t>
  </si>
  <si>
    <t>Jessferro</t>
  </si>
  <si>
    <t>A CORUÑA</t>
  </si>
  <si>
    <t>Socialista militante, Republicano,Ateo, .</t>
  </si>
  <si>
    <t>https://www.facebook.com/jesus.fernandez.102977</t>
  </si>
  <si>
    <t>https://www.eldiario.es/_31fba826</t>
  </si>
  <si>
    <t>Jacqueline</t>
  </si>
  <si>
    <t>Muchos @joanbaldovi necesitamos y ningún Pablo Casado , ni Albert Rivera ! Sólo quieren guerra! 😠 RT @joanbaldovi: Palabras como las de Casado sólo hacen que lanzar más leña al fuego y no son responsables. Hay que reflexionar y bajar el tono. 📺Entrevista en Al Rojo Vivo🔴 [1/n]</t>
  </si>
  <si>
    <t>Bilbao</t>
  </si>
  <si>
    <t>https://twitter.com/joanbaldovi/status/1065943188660256769</t>
  </si>
  <si>
    <t>pic.twitter.com/ULxnCRGb8z</t>
  </si>
  <si>
    <t>,España</t>
  </si>
  <si>
    <t>Uno más</t>
  </si>
  <si>
    <t>El matrimonio te puede cambiar de muchas maneras, incluso política. Puedes pasar de estar buscando con Pablo iglesias a estar con Pablo casado.</t>
  </si>
  <si>
    <t>Pasadena, CA</t>
  </si>
  <si>
    <t>Viejoven. Paquita Salas es mi crush. Fan de Dave el Bárbaro y el de las peras. No me cuentes cuentos que ya todos me los sé. No queda salsita. Fantasioso cariño</t>
  </si>
  <si>
    <t>SlayMultimedios</t>
  </si>
  <si>
    <t>Los conservadores españoles apoyarán al Gobierno si finalmente rechaza el Brexit - MADRID (Sputnik) — El líder del Partido Popular, Pablo Casado, afirmó que su formación política apoyará al Gobierno de Pedro Sánchez si f...</t>
  </si>
  <si>
    <t>http://bit.ly/2DT9gm0</t>
  </si>
  <si>
    <t>Chile</t>
  </si>
  <si>
    <t>Hosting, desarrollo y diseño web. Aplicaciones y software a medida.</t>
  </si>
  <si>
    <t>http://www.slaymultimedios.com</t>
  </si>
  <si>
    <t>jorge castro martin</t>
  </si>
  <si>
    <t>Luismicrg</t>
  </si>
  <si>
    <t>Pablo Casado ha dicho en la campaña electoral andaluza que hay dos opciones: "o el comunismo de Podemos y Susana Díaz o el PP con quien le quiera apoyar" Así es como @pablocasado_ verá Andalucía si no gana el PP #EleccionesAndaluzas</t>
  </si>
  <si>
    <t>https://pbs.twimg.com/media/DssWrCuXgAEuB1P.jpg</t>
  </si>
  <si>
    <t>A veces hago cosas delante de una cámara 🎬🎥 Y a veces ando por el monte como las cabras 🐐⛰</t>
  </si>
  <si>
    <t>Rafael_F</t>
  </si>
  <si>
    <t>[Marchena] “Es uno de los mejores juristas españoles en las últimas décadas”, dijo públicamente Pablo Casado cuando le preguntaron por él. No había herida alguna ese día. Nadie en el PP protestó.  vía @iescolar</t>
  </si>
  <si>
    <t>Nika Iruña</t>
  </si>
  <si>
    <t>Siempre pensé que el harakiri era un ritual exclusivamente japones, hasta que el @PPopular eligió a Pablo Casado como presidente. #ConElFranquismoHemosTopado #PabloCasado #CorrupcionPP #PabloCasadoDimision</t>
  </si>
  <si>
    <t xml:space="preserve">Ciudad Rodrigo </t>
  </si>
  <si>
    <t>https://pbs.twimg.com/media/Dsn6kovUwAAcyxi.jpg</t>
  </si>
  <si>
    <t>Historiador. Escritor aficionado. Interesado por la política, la economía y todo lo humano.</t>
  </si>
  <si>
    <t>http://rafaelfiglesias.wordpress.com/</t>
  </si>
  <si>
    <t>"Vamos a derogar la Reforma Laboral en cuanto entremos en el Gobierno" Pedro Sánchez @PSOE (En la oposición) http://instagram.com/nika_iru</t>
  </si>
  <si>
    <t>María José S</t>
  </si>
  <si>
    <t>Pablo Casado intenta comprar una remesa de esclavos en el Black Friday</t>
  </si>
  <si>
    <t>https://www.eljueves.es/news/pablo-casado-intenta-comprar-remesa-esclavos-black-friday_2970?utm_source=twitter&amp;utm_medium=social&amp;utm_campaign=trafico</t>
  </si>
  <si>
    <t>Sevilla</t>
  </si>
  <si>
    <t>SANLUCAR LA MAYOR</t>
  </si>
  <si>
    <t>Soy una chica entusiasta y preocupada por el bienestar social . Soy muy activa y dinamica, me encantan los nuevos retos.</t>
  </si>
  <si>
    <t>Auge  Aabye 🔷</t>
  </si>
  <si>
    <t>Barcelona Catalonia Catalunya</t>
  </si>
  <si>
    <t>Global Citizen, 🌎Artist. 🖼Support human rights and freedom . 🏳️‍🌈Supporting the use of traceable 🔗Digital Money worldwide. &amp; Universal Basic Income💶 #Cat</t>
  </si>
  <si>
    <t>José Antonio</t>
  </si>
  <si>
    <t>Alguien en su sano juicio cree y se fía de las estupideces y barbaridades que salen de la boca de Pablo Casado, este hombre de mente trastocada e ideas trasnochadas, está capacitado para presidir un partido y algún día representarnos a los españoles?.</t>
  </si>
  <si>
    <t>Por la igualdad, ética, justicia, honor y verdadero socialismo.</t>
  </si>
  <si>
    <t>chuchoquehabla</t>
  </si>
  <si>
    <t>Esto es lo que hicieron con un Comunista, como lo era Pablo Neruda ,cuando Pinochet ,admirado por Pablo Casado y Rivera ,logró el poder</t>
  </si>
  <si>
    <t>https://pbs.twimg.com/media/DssSRhlWsAExK40.jpg</t>
  </si>
  <si>
    <t>Españistán Norte</t>
  </si>
  <si>
    <t>A mí no me mire,yo no voté al PP</t>
  </si>
  <si>
    <t>Marcos Marquiños</t>
  </si>
  <si>
    <t>Nada, por si a alguien le queda la más mínima duda de lo facha que es este mamarracho, ahi queda eso</t>
  </si>
  <si>
    <t>https://m.eldiario.es/politica/Pablo-Casado-exaltacion-franquismo-probidida_0_838516217.html#click=https://t.co/r41wo2TRdA</t>
  </si>
  <si>
    <t>Arona, España</t>
  </si>
  <si>
    <t>Amante marido, dedicado papa y gurú de movidas tochas.</t>
  </si>
  <si>
    <t>Daniel Senderos</t>
  </si>
  <si>
    <t>Casi nada. El jefe de prensa de Pablo Casado está imputado por fraude, malversación y tráfico de influencias »</t>
  </si>
  <si>
    <t>https://diario6.com/el-jefe-de-prensa-de-pablo-casado-esta-imputado-por-fraude-malversacion-y-trafico-de-influencias/#.W_BL2lxTAWk.twitter</t>
  </si>
  <si>
    <t>Alava - Euskadi</t>
  </si>
  <si>
    <t>Otro #planeta es posible. Hacia la #TransiciónEnergética y la #EconomíaCircular. Preocupado por el #MedioAmbiente y la #energía. Otra #Europa es posible.</t>
  </si>
  <si>
    <t>http://www.iagua.es/blogs/daniel-senderos</t>
  </si>
  <si>
    <t>Madrid, España</t>
  </si>
  <si>
    <t>jimvilx</t>
  </si>
  <si>
    <t>¡Te recomiendo que escuches este audio de iVoox! Pablo Casado y la estupidez intelectual por Edmundo Fayanas</t>
  </si>
  <si>
    <t>http://www.ivoox.com/29845151</t>
  </si>
  <si>
    <t>Ansoáin/Antsoain</t>
  </si>
  <si>
    <t>LIBERTAD DE PENSAMIENTO; LEVÁNTATE Y PIENSA QUE NO LO HAGAN POR TÍ</t>
  </si>
  <si>
    <t>libresysinred</t>
  </si>
  <si>
    <t>f.zaragoza</t>
  </si>
  <si>
    <t>Las mentiras de Pablo Casado sobre la renovación del Poder Judicial y el ‘wasap’ de Cosidó, por @iescolar.  vía @iescolar</t>
  </si>
  <si>
    <t>Sur CV</t>
  </si>
  <si>
    <t>Fede Zaragoza. Portaveu Compromís Baix Vinalopó i Vega Baja del Segura. / Portavoz Compromís Baix Vinalopó y Vega Baja del Segura.</t>
  </si>
  <si>
    <t>Persona hastiada hasta la médula de la sinrazón de quienes gobiernan por encima de sus posibilidades, haciendo que el resto estemos invadidos por el infortunio.</t>
  </si>
  <si>
    <t>Pablo Casado es un clon de Aznar. ¿Quieres comprobarlo? No te pierdas #AznarIsComing 😱‼️ RT @PSOE: “Si a mí alguna vez me tiene que renovar alguien, que me renueve Pablo Casado, que es un tío fantástico.” Son las palabras de Aznar dictando sucesor. No te pierdas lo que vino a continuación. #AznarIsComing ‼️⬇️</t>
  </si>
  <si>
    <t>https://twitter.com/psoe/status/1065897759910346752?s=21</t>
  </si>
  <si>
    <t>pic.twitter.com/RnZsES9Cp3</t>
  </si>
  <si>
    <t>ALG🔻</t>
  </si>
  <si>
    <t>Pablo Casado dice que Susana Díaz está al servicio del comunismo. Podemos decir ya sin problema que PP, C's y VOX son de extrema derecha.</t>
  </si>
  <si>
    <t>Granada, España</t>
  </si>
  <si>
    <t>JCCruz</t>
  </si>
  <si>
    <t>Suárez Illana, pdte de la fundación creada por Pablo Casado para renovar ideológicamente el PP, dice que la democracia se le debe en parte a Franco. El nuevo PP, abrazará el franquismo del 75 q según Suárez, era diferente al del 36 o el 68. La renovación del partido va muy bien.</t>
  </si>
  <si>
    <t xml:space="preserve">Portugalete, Euskadi, España </t>
  </si>
  <si>
    <t>Mi patria empieza en mi y acaba en ninguna parte.</t>
  </si>
  <si>
    <t>JORDI VILARRASA</t>
  </si>
  <si>
    <t>https://www.eljueves.es/news/pablo-casado-intenta-comprar-remesa-esclavos-black-friday_2970?utm_source=facebook&amp;utm_medium=social&amp;utm_campaign=trafico</t>
  </si>
  <si>
    <t>Girona</t>
  </si>
  <si>
    <t>La prisa es la mejor manera de perder el tiempo</t>
  </si>
  <si>
    <t>http://vibefamily.wordpress.com/</t>
  </si>
  <si>
    <t>📲 Juan Carlos Romero</t>
  </si>
  <si>
    <t>En el Partido Popular de Pablo Casado traen de Madrid a Suárez Illana a enseñar a pescar a la gente de Andalucía. Otra afrenta a la gente sobradamente preparada que, estimo, tiene el propio PP Andaluz</t>
  </si>
  <si>
    <t>https://pbs.twimg.com/media/DssO3GIXQAARgy9.jpg</t>
  </si>
  <si>
    <t>Castilblanco de los Arroyos</t>
  </si>
  <si>
    <t>PERIODISTA Andaluz. Viajo por lugares, personas y tiempos. Aprendí en @elcorreoweb @cextremadura y @abcdesevilla ¡Cuenta conmigo! 👉 juanca_sev@hotmail.com</t>
  </si>
  <si>
    <t>http://www.juancarlosromero.wordpress.com</t>
  </si>
  <si>
    <t>caverna cúbica</t>
  </si>
  <si>
    <t>PAblo Casado está flipao 🤣🤣🤣 dice a los votantes andaluces que sólo están ellos o los comunistas, es de una simplicidad propia de alguien a quien Le han regalado sus títulos.</t>
  </si>
  <si>
    <t>pic.twitter.com/ciolWNMder</t>
  </si>
  <si>
    <t>Valencia</t>
  </si>
  <si>
    <t>Pienso, hablo, escucho, miro, vivo... y pinto 'por amor al arte'</t>
  </si>
  <si>
    <t>http://www.sergiocases-artstudio.com</t>
  </si>
  <si>
    <t>Dave</t>
  </si>
  <si>
    <t>¿Soy al único que no le apetece currar? Responder "Pablo Casado" no cuenta.</t>
  </si>
  <si>
    <t>Barnacity</t>
  </si>
  <si>
    <t>Neo-renacentista, neo-punky.</t>
  </si>
  <si>
    <t>https://www.instagram.com/davidrodriguez2407/</t>
  </si>
  <si>
    <t>Barcelona</t>
  </si>
  <si>
    <t>brivas</t>
  </si>
  <si>
    <t>Las mentiras de Pablo Casado sobre la renovación del Poder Judicial y el ‘wasap’ de Cosidó -</t>
  </si>
  <si>
    <t>https://m.eldiario.es/31fba826_838576166/</t>
  </si>
  <si>
    <t>Simplemente un ser humano, al menos eso intento. Ciudadano del mundo.</t>
  </si>
  <si>
    <t>nnggcalahorra</t>
  </si>
  <si>
    <t>Pablo Casado explica los 5 puntos que propone el Partido Popular sobre Gibraltar en el acuerdo del Brexit: 🔵 Cosoberanía compartida. 🔵 Pasaporte comunitario. 🔵 Plan de inversiones en el Campo de...</t>
  </si>
  <si>
    <t>https://www.facebook.com/nuevasgeneraciones.calahorra/posts/921955187975231</t>
  </si>
  <si>
    <t>Calahorra</t>
  </si>
  <si>
    <t>Nuevas Generaciones Calahorra es una organización juvenil de carácter político cuyo objetivo es elaborar propuestas para mejorar las condiciones de los jóvenes.</t>
  </si>
  <si>
    <t>http://www.nngglarioja.es</t>
  </si>
  <si>
    <t>José González</t>
  </si>
  <si>
    <t>Pablo Casado da pena, según el si no votas PP, votas comunismo, este gilipollas esta enfermo, menos mal que lis andaluces, no son tontos, aunque Casado crea que si</t>
  </si>
  <si>
    <t>Badalona, Catalunya</t>
  </si>
  <si>
    <t>Fos</t>
  </si>
  <si>
    <t>Según Pablo casado ¿qué vais a votar en Andalucía?</t>
  </si>
  <si>
    <t>Madrid, Spain</t>
  </si>
  <si>
    <t>Le atiende Montse, extensión 304, ¿en qué puedo ayudarle?</t>
  </si>
  <si>
    <t>http://Instagram.com/fos.qi</t>
  </si>
  <si>
    <t>Alexander Supertramp</t>
  </si>
  <si>
    <t>A mí que Pablo Casado haya ganado un proceso democrático aunque fuera dentro de su propio partido me da bastante miedo la verdad. No sé en qué clase de sociedad estamos para que alguien así consiga apoyos de alguien.</t>
  </si>
  <si>
    <t>País Valencià</t>
  </si>
  <si>
    <t>Yo no se nada; eso lo lleva mi marido</t>
  </si>
  <si>
    <t>Викентий</t>
  </si>
  <si>
    <t>¿Pablo Casado ha llamado comunista ☭ al PSOE y a Susana Díaz?. JAJAJAJAJAJAJAJAJA</t>
  </si>
  <si>
    <t>No hagas promesas que no puedas cumplir. Seriéfilo. A Coruña. Dépor.</t>
  </si>
  <si>
    <t>laquintacolumna</t>
  </si>
  <si>
    <t>Nunca he sido comunista y Pablo Casado va a acabar convirtiéndome.</t>
  </si>
  <si>
    <t>Andalucía, España</t>
  </si>
  <si>
    <t>Asturias</t>
  </si>
  <si>
    <t>La vida es lo que pasa mientras pierdes el tiempo escribiendo un tuit</t>
  </si>
  <si>
    <t>Alejandro.</t>
  </si>
  <si>
    <t>JAJAJAJA QUE SUBNORMAL ES PABLO CASADO HA LLAMADO COMUNISTA A SUSANA DÍAZ JAJAJAJAJAJAJAJAJAJAJAJAJAJAJAJAJAJAJAJ</t>
  </si>
  <si>
    <t>Islas Canarias</t>
  </si>
  <si>
    <t>Dicen que la patria es un fusil y una bandera. Mi patria son mis hermanos que están labrando la tierra.</t>
  </si>
  <si>
    <t>Emilio Cabrera</t>
  </si>
  <si>
    <t>Coño. Que ha dicho Pablo Casado que Susana Díaz es comunista.</t>
  </si>
  <si>
    <t>San Fernando-Sevilla-Madrid</t>
  </si>
  <si>
    <t>Periodista, ahora en @masterEACP. En el norte los del sur pasan frío. Buena persona, mejor tuitero.</t>
  </si>
  <si>
    <t>http://instagram.com/emiliocabrera7</t>
  </si>
  <si>
    <t>Lavapiés Republicano</t>
  </si>
  <si>
    <t>Esperando a la derecha en Andalucía | @ctxt_es @manutv</t>
  </si>
  <si>
    <t>http://bit.ly/2PRgy00</t>
  </si>
  <si>
    <t>Asociación republicana del barrio de Lavapiés.Comprometidos con la humanidad y los DD.HH. llevamos un mundo nuevo en nuestros corazones</t>
  </si>
  <si>
    <t>https://www.facebook.com/lavapiesrepublicano/</t>
  </si>
  <si>
    <t>ECEspaña</t>
  </si>
  <si>
    <t>Pablo Casado apoyará al Gobierno si veta el acuerdo del Brexit aunque sea "tarde y mal"</t>
  </si>
  <si>
    <t>https://www.elconfidencial.com/espana/2018-11-23/brexit-pablo-casado-apoyo-gobierno-veto_1664574/?utm_source=twitter&amp;utm_medium=social&amp;utm_campaign=NacionalDiarioAutomatico</t>
  </si>
  <si>
    <t>Sección de Nacional de @elconfidencial. Investigación, política y tribunales.</t>
  </si>
  <si>
    <t>http://elconfidencial.com</t>
  </si>
  <si>
    <t>Luis Beltri Baudet</t>
  </si>
  <si>
    <t>jjibago</t>
  </si>
  <si>
    <t>Carmona</t>
  </si>
  <si>
    <t>Santa Cruz de Tenerife, España</t>
  </si>
  <si>
    <t>Padre de Inés, Sara y Pablo. Feminista, ecologista, socialista y deportista. Vicesecretario @PSOESantaCruzTF. Junta directiva @RFEVB. Del @CVHaris</t>
  </si>
  <si>
    <t>Envidia</t>
  </si>
  <si>
    <t>En cierne. Aprendiz de feminista.</t>
  </si>
  <si>
    <t>Santoñesa</t>
  </si>
  <si>
    <t>Pablo Casado, el hombre que cobra 1.842 euros en dietas por ser diputado por Ávila pero que vive y vota en Madrid</t>
  </si>
  <si>
    <t>https://diario6.com/pablo-casado-el-hombre-que-cobra-1-842-euros-en-dietas-por-ser-diputado-por-avila-pero-que-vive-y-vota-en-madrid/</t>
  </si>
  <si>
    <t>De ingenuos e ignorantes viven los mangantes No tolero insultos</t>
  </si>
  <si>
    <t>Diario de Sevilla</t>
  </si>
  <si>
    <t>agubot</t>
  </si>
  <si>
    <t>Esta noche pablo casado hace un criminal de guerra es hacer que la gente se ría de él en internet</t>
  </si>
  <si>
    <t>soy programador</t>
  </si>
  <si>
    <t>Sevilla, Spain</t>
  </si>
  <si>
    <t>Diario de información general, Sevilla. Newspaper, Seville.</t>
  </si>
  <si>
    <t>http://www.diariodesevilla.es</t>
  </si>
  <si>
    <t>Julio Hinojo Lopez</t>
  </si>
  <si>
    <t>Lo que sale por la boca de esta CHUSMA de la derecha recalcitrante sí que es "mezcla de serrín y estiércol"... y no lo que, a veces sin demasiado acierto, suelta el brabucón de Rufián!</t>
  </si>
  <si>
    <t>Serón (Almería)</t>
  </si>
  <si>
    <t>... no, a la gente no gusta que uno tenga su propia fe... Maestro de inglés y Psicopedagogo, navegante web a tiempo parcial.</t>
  </si>
  <si>
    <t>https://www.vizify.com/julio-hinojo-lopez/twitter-video</t>
  </si>
  <si>
    <t>Vladimir</t>
  </si>
  <si>
    <t>Y si fuera Pablo Casado el autor del tuit que dice que ya controlan la justicia desde detrás. Y si Cosidó solo fuera el cabeza de turco para no cargarse al "masters"</t>
  </si>
  <si>
    <t>Caesaraugusta</t>
  </si>
  <si>
    <t>Hay que buscar la III república porque me niego a seguir manteniendo a un fulano (y toda su familia) cuyo único merito es que su padre se echo un polvo</t>
  </si>
  <si>
    <t>Andalucía</t>
  </si>
  <si>
    <t>Jesús Dapena Botero</t>
  </si>
  <si>
    <t>Pablo Casado dice que la exaltación del franquismo solo debería estar prohibida si es violenta, como la del comunismo  vía @eldiarioes</t>
  </si>
  <si>
    <t>https://www.eldiario.es/_31fabdf9</t>
  </si>
  <si>
    <t>Málaga</t>
  </si>
  <si>
    <t>Escritor</t>
  </si>
  <si>
    <t>Inés Calderón de Ant</t>
  </si>
  <si>
    <t>Celáa explica que rompió relaciones con Pablo Casado, no con el PP; igual que ahora considera indigno lo que hizo Rufián pero no rompe con ERC #CMin</t>
  </si>
  <si>
    <t>Periodista. Quiero ser presidenta del Betis. #Séloquehicisteis en @objetivolasexta. A veces paso por @eleconomistaes. Siempre sonrío #running</t>
  </si>
  <si>
    <t>http://www.eleconomista.es/autor/Ines-Calderon</t>
  </si>
  <si>
    <t>Eduardo Leiva</t>
  </si>
  <si>
    <t>https://spanishpolice.github.io/</t>
  </si>
  <si>
    <t>Córdoba-Málaga</t>
  </si>
  <si>
    <t>Apostando por alternativas a los convencionales, uniformes y obedientes medios de comunicación.</t>
  </si>
  <si>
    <t>http://page.is/eduardo-leiva</t>
  </si>
  <si>
    <t>Mer</t>
  </si>
  <si>
    <t>Pablo Casado se rie de nosotros porque se lo permitimos. El Rivera igual. Niños pijos de chaqueta de entretiempo con la boca excesivamente grande.</t>
  </si>
  <si>
    <t>Canarias,España 🇮🇨🇪🇸</t>
  </si>
  <si>
    <t>Amor y Bambiche. Aguacates y Nutella. Viajar. Coldplay y Messi, Mojitos y Café. Música y libros. Relajo e Intensidad. Salsa de queso, Nachos, Siesta y culos.</t>
  </si>
  <si>
    <t>Enrique</t>
  </si>
  <si>
    <t>Hijo dEnrique Añino ilzarbe dAndueza Sdad Sevilla Balompié, directivo varios presidentes Balompié Betis Real_idad Centenaria y artífice Escudo 1931-1932.</t>
  </si>
  <si>
    <t>CTXT</t>
  </si>
  <si>
    <t>Si en el PP andaluz su líder ha quedado relegado a un segundo plano, en Ciudadanos casi ni sabemos quién es: Rivera y Arrimadas se han apropiado de la campaña como dos cabezas de cartel que tiran de todo lo demás.</t>
  </si>
  <si>
    <t>https://ctxt.es/es/20181121/Politica/22989/manu-garrido-elecciones-andaluc%C3%ADa-PP-Pablo-casado-campa%C3%B1a-sin-candidato-VOX.htm</t>
  </si>
  <si>
    <t>Revista Contexto y Acción. Periodismo artesano en libertad. SUSCRÍBETE en https://agora.ctxt.es 🧐</t>
  </si>
  <si>
    <t>http://www.ctxt.es</t>
  </si>
  <si>
    <t>Yolanda</t>
  </si>
  <si>
    <t>Madre mia!!! Pablo Casado dice que la exaltación del franquismo solo debería estar prohibida si es violenta, como la del comunismo  vía @eldiarioes</t>
  </si>
  <si>
    <t>https://m.eldiario.es/_31fabdf9</t>
  </si>
  <si>
    <t>Badalona, Psicóloga.</t>
  </si>
  <si>
    <t>Faldox</t>
  </si>
  <si>
    <t>Pablo Casado anuncia que si gana las elecciones volverá el diezmo al Rey, que es una tradición más española que el #BlackFriday ese del demonio.</t>
  </si>
  <si>
    <t>Opositor y amo de casa. Subcampeón Princesa de Asturias de la Concordia 2017. Ministro del salmorejo.</t>
  </si>
  <si>
    <t>Bob Estropajo</t>
  </si>
  <si>
    <t>Quien aprovechaba muy bien los #BlackFriday de la URJC, era Pablo Casado.</t>
  </si>
  <si>
    <t>bob@bobestropajo.com</t>
  </si>
  <si>
    <t>¡¡TRAED PAELLA, CABRONES!!. Papi de Hanna y de Luna.</t>
  </si>
  <si>
    <t>http://www.bobestropajo.com</t>
  </si>
  <si>
    <t>COAG Almería</t>
  </si>
  <si>
    <t>Esta mañana hemos participado en la reunión de la Mesa del Agua con el líder del PP, Pablo Casado, donde se han tratado los diferentes asuntos que preocupan en torno a la escasez de agua en la provincia de Almería.</t>
  </si>
  <si>
    <t>https://pbs.twimg.com/media/DssASG2WwAA18Gq.jpg</t>
  </si>
  <si>
    <t>Vícar, España</t>
  </si>
  <si>
    <t>Organización Agraria de la provincia de Almería en defensa de los agricultores y ganaderos.</t>
  </si>
  <si>
    <t>https://telegram.me/coagalmeria</t>
  </si>
  <si>
    <t>Peppe r !</t>
  </si>
  <si>
    <t>Me nacieron en Granada, una mañana de Octubre. Me visto por los pies ya que no hay otra forma de ponerse los pantalones. Abogado entre otros muchos menesteres</t>
  </si>
  <si>
    <t>βΔŘβΔŘΞΔŇ</t>
  </si>
  <si>
    <t>Una persona inquieta en un mundo injusto.</t>
  </si>
  <si>
    <t>La Tierra</t>
  </si>
  <si>
    <t>Julio Ganguita 🇪🇸</t>
  </si>
  <si>
    <t>La corrupción en España solo puede solucionarla el detective Colombo.</t>
  </si>
  <si>
    <t>Ferran Sala</t>
  </si>
  <si>
    <t>Pablo Casado también podría haber falsificado su máster  via @eljueves</t>
  </si>
  <si>
    <t>Pilar Gua Bati🎗</t>
  </si>
  <si>
    <t>Elpidio José Silva : Denunciado el Fiscal que pidió el archivo del #casoMaster de #PabloCasado #casoHijadeMarchena #TribunalSupremo</t>
  </si>
  <si>
    <t>https://www.eljueves.es/vineta-del-dia/pablo-casado-tambien-podria-haber-falsificado-master_2258</t>
  </si>
  <si>
    <t>http://diario16.com/denunciado-fiscal-pidio-archivo-del-caso-master-pablo-casado/</t>
  </si>
  <si>
    <t>Calaf</t>
  </si>
  <si>
    <t>PASTA-MÚSICA-ECOLOGÍA</t>
  </si>
  <si>
    <t>http://ferransalacasasampere.blogspot.com.es/</t>
  </si>
  <si>
    <t>Zaragoza</t>
  </si>
  <si>
    <t>Simplemente una persona mas, de viaje por esta vida</t>
  </si>
  <si>
    <t>http://tarotmariadelpilar.wordpress.com</t>
  </si>
  <si>
    <t>Angeles</t>
  </si>
  <si>
    <t>Seseña (Toledo)</t>
  </si>
  <si>
    <t>Graduada Social y ama de casa. Vallecana y manchega (infanteña). Abogada de pleitos pobres.</t>
  </si>
  <si>
    <t>JGM</t>
  </si>
  <si>
    <t>Pablo Casado apoyará al Gobierno si veta el acuerdo del Brexit aunque sea "tarde y mal"  El Confidencial</t>
  </si>
  <si>
    <t>https://ift.tt/2FE7yqk</t>
  </si>
  <si>
    <t>La vida es un gran viaje para encontrarse a uno mismo, y debemos hacerlo con la mayor ilusión posible.</t>
  </si>
  <si>
    <t>La Universidad Rey Juan Carlos contrata como profesor a Pablo Casado  via @eljueves</t>
  </si>
  <si>
    <t>https://www.eljueves.es/news/universidad-rey-juan-carlos-contrata-como-profesor-a-pablo-casado_2968</t>
  </si>
  <si>
    <t>Cartagena, España</t>
  </si>
  <si>
    <t>APODEC</t>
  </si>
  <si>
    <t>Sevilla, España</t>
  </si>
  <si>
    <t>No avanzamos. Seguimos anclados en las dos Españas. No hay talento para mirar al futuro, ni para distinguir entre dictadura obsoleta y partidos políticos consolidados en democracia.</t>
  </si>
  <si>
    <t>Barcelona, España</t>
  </si>
  <si>
    <t>LPGC</t>
  </si>
  <si>
    <t>ASOCIACION DE POLICIAS PARA LA DEMOCRACIA</t>
  </si>
  <si>
    <t>http://www.policiasparalademocracia.es</t>
  </si>
  <si>
    <t>También @pablocasado_ ha participado esta mañana en la Cámara de Comercio de Almería en la presentación del acuerdo Mesa del Agua. Otra demostración más de que a Pablo Casado sí que le importa Almería. #VotaGarantíaDeCambio @JuanMa_Moreno @MaribelHOvera</t>
  </si>
  <si>
    <t>https://pbs.twimg.com/media/Dsr9nzlWsAEfZId.jpg</t>
  </si>
  <si>
    <t>NNGG Dto. Salamanca</t>
  </si>
  <si>
    <t>🔗Entrevista a Juanma Moreno (PP): "Pablo Casado lleva cuatro meses, nadie le puede responsabilizar de las andaluzas"</t>
  </si>
  <si>
    <t>http://bit.ly/2DFVtyo</t>
  </si>
  <si>
    <t xml:space="preserve">Madrid, España </t>
  </si>
  <si>
    <t>Twitter Oficial de Nuevas Generaciones del Distrito Salamanca. Partido Popular de Dto. Salamanca @dtosalamancapp</t>
  </si>
  <si>
    <t>http://www.facebook.com/nnggdistritosalamanca</t>
  </si>
  <si>
    <t>Desiderio Alonso</t>
  </si>
  <si>
    <t>Pablo Casado</t>
  </si>
  <si>
    <t>Entras en Twitter, ves los TT y te das cuenta de que no eres el único que tiene ataque de nostalgia este viernes. Disney ha dado en el clavo con El Rey León.</t>
  </si>
  <si>
    <t>https://www.youtube.com/watch?v=m2RLNV9tJ9I</t>
  </si>
  <si>
    <t>Arrière du Peloton</t>
  </si>
  <si>
    <t>Graduado en Humanidades y Periodismo. Redactor en @eldebatedehoy. Disfrutando en el podcast de @Eagles_Spain.</t>
  </si>
  <si>
    <t>http://www.eldebatedehoy.es</t>
  </si>
  <si>
    <t>SISUMISU</t>
  </si>
  <si>
    <t>Pablo Casado intenta comprar una remesa de esclavos en el Black Friday  #FelizViernes</t>
  </si>
  <si>
    <t>https://www.eljueves.es/news/pablo-casado-intenta-comprar-remesa-esclavos-black-friday_2970</t>
  </si>
  <si>
    <t>AMO A LOS ANIMALES SU LIBERTAD.LEER NOVELA HISTORICA,PERO ANTE TODO, DEFENDER LO JUSTO REPUBLICANA-PARTICIPO EN @MiercolesRepub1 SALUD Y REPÚBLICA ❤️💛💜</t>
  </si>
  <si>
    <t>J. Celdran</t>
  </si>
  <si>
    <t>Pablo Casado o Juan Palomo yo me lo guiso yo me lo como, ahora se entiende por qué Teodoro es su segundo, es de los pocos más ineptos que él RT @japtapias: Este tipo no necesita un máster, necesita el programa de Historia del bachillerato "Pablo Casado dice que la exaltación del franquismo solo debería estar prohibida si es violenta, como la del comunismo  vía @eldiarioes</t>
  </si>
  <si>
    <t>https://twitter.com/japtapias/status/1065654391292772353
https://www.eldiario.es/_31fabdf9</t>
  </si>
  <si>
    <t>ciudadano del mundo y poco más</t>
  </si>
  <si>
    <t>Luis Lorente Mena</t>
  </si>
  <si>
    <t>👤</t>
  </si>
  <si>
    <t>Aportando humildemente mi granito de arena para terminar con la jauría neoliberal.</t>
  </si>
  <si>
    <t>Ramón Lobo</t>
  </si>
  <si>
    <t>OPINIÓN | Las mentiras de Pablo Casado sobre la renovación del Poder Judicial y el ‘wasap’ de Cosidó, por Ignacio Escolar  via @iescolar</t>
  </si>
  <si>
    <t>Elpidio José Silva</t>
  </si>
  <si>
    <t>Denunciado el Fiscal que pidió el archivo del #casoMaster de #PabloCasado #casoHijadeMarchena #TribunalSupremo</t>
  </si>
  <si>
    <t>Spain</t>
  </si>
  <si>
    <t>Spanish war correspondent for 20 years in Balkans, Chechenia, Africa, Irak and Afghanistan. I would like to write stories in Latin America. Writer and blogger</t>
  </si>
  <si>
    <t>http://www.ramonloboweb.com</t>
  </si>
  <si>
    <t>De la judicatura al compromiso social. Obras:"La Justicia Desahuciada. España no es país para jueces” y "La verdad sobre el caso Blesa". Abogado @esilvaabogados</t>
  </si>
  <si>
    <t>http://www.facebook.com/elpidiojsilva</t>
  </si>
  <si>
    <t>Todo Radio🇪🇸</t>
  </si>
  <si>
    <t>PABLO CASADO explica las 5 propuestas del PP sobre GIBRALTAR:  via @YouTube</t>
  </si>
  <si>
    <t>http://youtu.be/kT03nLG97AU?a</t>
  </si>
  <si>
    <t>Somo, Cantabria</t>
  </si>
  <si>
    <t>Playa de Somo,Cantabria. ESPAÑA</t>
  </si>
  <si>
    <t>https://www.youtube.com/channel/UCzAeV22GnQxwUBokDOEyb4A</t>
  </si>
  <si>
    <t>juan santiso iglesia</t>
  </si>
  <si>
    <t>#PabloCasado CONTRA LA HISTORIA Pablo Casado continúa su cruzada para ensalzar la nación española sin importarle la histORIA. El presidente del PP afirmó que España nunca colonizó América: La plata de las minas de Potosí ofreció un premio gigantesco:</t>
  </si>
  <si>
    <t>Angeles GL</t>
  </si>
  <si>
    <t>Pablo Casado, el hombre que cobra 1.842 euros en dietas por ser diputado por Ávila pero que vive y vota en Madrid » Diario 6</t>
  </si>
  <si>
    <t>https://www.facebook.com/Lapartida15m/photos/a.762255460511339/2190359814367556/?type=3&amp;theater</t>
  </si>
  <si>
    <t>https://pbs.twimg.com/media/DsXQFtzXQAAePqg.jpg</t>
  </si>
  <si>
    <t>https://diario6.com/pablo-casado-el-hombre-que-cobra-1-842-euros-en-dietas-por-ser-diputado-por-avila-pero-que-vive-y-vota-en-madrid/#.W_fsfiA1xMo.twitter</t>
  </si>
  <si>
    <t>madrid</t>
  </si>
  <si>
    <t>fotoperiodista activista 15M</t>
  </si>
  <si>
    <t>http://juansantiso.blogspot.com/</t>
  </si>
  <si>
    <t>https://www.facebook.com/pages/%C3%81ngeles-Garc%C3%ADa-pinturas-OHCO/167423676660654</t>
  </si>
  <si>
    <t>Si Soy Izquierda</t>
  </si>
  <si>
    <t>En @elconfidencial: Casado apoyará al Gobierno si veta el acuerdo del Brexit aunque sea "tarde y mal"</t>
  </si>
  <si>
    <t>https://www.elconfidencial.com/espana/2018-11-23/brexit-pablo-casado-apoyo-gobierno-veto_1664574/?utm_source=twitter&amp;utm_medium=social&amp;utm_campaign=BotoneraWeb</t>
  </si>
  <si>
    <t>Asturias, Principado de Asturias</t>
  </si>
  <si>
    <t>I added a video to a @YouTube playlist  PABLO CASADO explica las 5 propuestas del PP sobre GIBRALTAR</t>
  </si>
  <si>
    <t>https://www.elmundo.es/espana/2018/11/19/5bf1b311268e3e5c418b45ab.html</t>
  </si>
  <si>
    <t>lopezbarrancojavier</t>
  </si>
  <si>
    <t>Pablo Casado critica la visita de Pedro Sánchez a Cuba. De Fraga y Asnar no dice nada este la moralidad la tiene para mentir que cinico y hipocrita es</t>
  </si>
  <si>
    <t>https://pbs.twimg.com/media/Dsr5VzrXQAA-Q1u.jpg</t>
  </si>
  <si>
    <t>Venezuela</t>
  </si>
  <si>
    <t>Santiago Pastor</t>
  </si>
  <si>
    <t>Las mentiras de Pablo Casado sobre la renovación del Poder Judicial y el ‘wasap’ de Cosidó, por Ignacio Escolar  vía @iescolar</t>
  </si>
  <si>
    <t>Las Rozas de Madrid</t>
  </si>
  <si>
    <t>Estoy hasta el gorro. Menos mal que me queda la ficción. Instagram @spastorm Pinterest spastormartinez</t>
  </si>
  <si>
    <t>Cornelia</t>
  </si>
  <si>
    <t>Tramuntana on the rocks.</t>
  </si>
  <si>
    <t>En català es pot escriure, també, per un cert esperit de revolta. Mercè Rodoreda.</t>
  </si>
  <si>
    <t>Paco Bardes Panyagua</t>
  </si>
  <si>
    <t>Ayer @joanbaldovi pidió por favor que se rebaje el tono de los discursos. Y hoy Pablo Casado llamando indignos a los votantes del PSOE y PODEMOS más los que se sumaron a la moción de censura que TIRO al traste a Rajoy y su gobierno más corrupto de Europa. En fin!!!</t>
  </si>
  <si>
    <t>DelMundo</t>
  </si>
  <si>
    <t>Antifascista. Republicano. El que quiera Iglesia que se la pague. las verdades NO las cuentan quienes nos mienten.</t>
  </si>
  <si>
    <t>http://contracobardes.blogspot.com.es/?m=1</t>
  </si>
  <si>
    <t>ATTACNavarra</t>
  </si>
  <si>
    <t>Catalunya</t>
  </si>
  <si>
    <t>“Las mentiras de Pablo Casado sobre la renovación del Poder Judicial y el ‘wasap’ de Cosidó”. Ignacio Escolar Un repaso a las dudosas explicaciones del presidente del PP durante la entrevista...</t>
  </si>
  <si>
    <t>¡No a la dictadura de los mercados! Queremos un mundo centrado en las personas y el cuidado de la Naturaleza</t>
  </si>
  <si>
    <t>http://www.attac-na.org/</t>
  </si>
  <si>
    <t>ironizona</t>
  </si>
  <si>
    <t>Hasta que Pablo Casado enseñe las pruebas de su master y el PP devuelva lo robado. RT @RafaBriGal: Hasta cuándo tenemos que aguantar la broma de pagar el sueldo al sinvergüenza de @gabrielrufian ???</t>
  </si>
  <si>
    <t>https://twitter.com/RafaBriGal/status/1065901968353304576</t>
  </si>
  <si>
    <t>La_CarrieWhite ☭🎗️</t>
  </si>
  <si>
    <t>I would prefer not to.</t>
  </si>
  <si>
    <t>Antifascista No me jodas la fiesta. Eres corto? Block, no discuto 🖕 Sólo existe un sentimiento mayor que el amor a la libertad,el odio a quien te la quita</t>
  </si>
  <si>
    <t>Javier Echeverría</t>
  </si>
  <si>
    <t>Toledo, España</t>
  </si>
  <si>
    <t>Convencido d q el cambio amplio y urgente q necesitamos se debe basar en solidaridad y cooperación entre diferentes. Clave: gestionar diferencias y moderar egos</t>
  </si>
  <si>
    <t>Leonardo Garrido Fernandez</t>
  </si>
  <si>
    <t>Pablo Casado tenía que estar en voz</t>
  </si>
  <si>
    <t>El Confidencial</t>
  </si>
  <si>
    <t>Pablo Casado, anuncia que apoyará al Gobierno si veta "cualquier acuerdo que sea deshonroso para España" sobre el Brexit</t>
  </si>
  <si>
    <t>https://www.elconfidencial.com/espana/2018-11-23/brexit-pablo-casado-apoyo-gobierno-veto_1664574/?utm_source=twitter&amp;utm_medium=social&amp;utm_campaign=ECDiarioManual</t>
  </si>
  <si>
    <t>moderador(@)elconfidencial.com</t>
  </si>
  <si>
    <t>El diario de los lectores influyentes como tú. Más noticias en http://facebook.com/elconfidencial.</t>
  </si>
  <si>
    <t>https://twitter.com/eldiarioes/status/1063776742714822656
https://www.eldiario.es/politica/Casado-Historia-colonizabamos-haciamos-Espana_0_836766521.html</t>
  </si>
  <si>
    <t>https://pbs.twimg.com/media/DsNLOnEXQAEoUnD.jpg</t>
  </si>
  <si>
    <t>La Voz Del Pueblo</t>
  </si>
  <si>
    <t>TU Y RIVERA SOIS LOS CULPABLES DE LA DIVISIÓN DE LA SOCIEDAD ESPAÑOLA. CONSTANTEMENTE ENFRENTANDO. NO TIENES VERGÜENZA NINGUNA PABLO CASADO.</t>
  </si>
  <si>
    <t>https://pbs.twimg.com/media/Dsr2DqwWwAEfcJv.jpg</t>
  </si>
  <si>
    <t>Jose Herrero Garcia</t>
  </si>
  <si>
    <t>javier</t>
  </si>
  <si>
    <t>https://twitter.com/ElHuffPost/status/1063863525859360769
https://www.huffingtonpost.es/2018/11/17/pablo-casado-los-espanoles-no-colonizabamos-lo-que-haciamos-era-tener-una-espana-mas-grande_a_23592393/</t>
  </si>
  <si>
    <t>Talavera d la reina</t>
  </si>
  <si>
    <t>un verato en Talavera</t>
  </si>
  <si>
    <t>@julianignacio31</t>
  </si>
  <si>
    <t>me jode que haya politicos falsos a agresivos .claro esto es el juego de una politica de circo con malos payasos que mas que hacer reir te encabrona verdad .pablo casado por ejemplo dice lo que no siente y lo peor es que ser lo creer curvas solo a la derecha y direcciion prohibid</t>
  </si>
  <si>
    <t>El Cubanisimo60</t>
  </si>
  <si>
    <t>España, los españoles y mucho menos los votantes socialistas no creemos en el discurso suversivo del hino de sup mDre pablo casado,!!!</t>
  </si>
  <si>
    <t>Guillem</t>
  </si>
  <si>
    <t>El Verger, España</t>
  </si>
  <si>
    <t>Soy ese PADRE que no me dejaron ser, todo mi existir va dedicado a mis 4 Hij@s, vean como quería educarles; Cristiano, del Barça y el PSOE Gracias a Dios ,!!!</t>
  </si>
  <si>
    <t>L'Hospitalet de Llobregat</t>
  </si>
  <si>
    <t>#LaJusticiaNoesIgualParaTodos La libertad no hace a las personas más felices, las hace, sencillamente personas.</t>
  </si>
  <si>
    <t>MANUELA</t>
  </si>
  <si>
    <t>#ARV Que vergüenza que Pablo Casado quiera ganar las elecciones a base de decir mentiras y bárbaridades, la pena son kienes les creen</t>
  </si>
  <si>
    <t>Me gustan las tertulias políticas y los concursos</t>
  </si>
  <si>
    <t>BAH!</t>
  </si>
  <si>
    <t>Hola Pablo Casado, lo que sí da mucha vergüenza es robar a manos llenas.</t>
  </si>
  <si>
    <t>Donde haya lumbre y vino.</t>
  </si>
  <si>
    <t>Tuitero de medio pelo.</t>
  </si>
  <si>
    <t>https://twitter.com/ElHuffPost/status/1064065856144109573
https://www.huffingtonpost.es/2018/11/17/pablo-casado-los-espanoles-no-colonizabamos-lo-que-haciamos-era-tener-una-espana-mas-grande_a_23592393/</t>
  </si>
  <si>
    <t>Luis Bernal</t>
  </si>
  <si>
    <t>El HuffPost</t>
  </si>
  <si>
    <t>Tensión entre Pepa Bueno y Pablo Casado: "Desde Esperanza Aguirre no he tenido tantas dificultades para hacer preguntas"</t>
  </si>
  <si>
    <t>https://www.huffingtonpost.es/2018/11/22/tension-entre-pepa-bueno-y-pablo-casado-desde-esperanza-aguirre-no-he-tenido-tantas-dificultades-para-hacer-preguntas_a_23596803/</t>
  </si>
  <si>
    <t>https://pbs.twimg.com/media/DsrzAWBXQAELv0u.jpg</t>
  </si>
  <si>
    <t>▶Facebook http://bit.ly/1sDqXwu ▶Telegram http://bit.ly/1sDriPC ▶Android http://bit.ly/1NcE6TE ▶iOS http://bit.ly/1AokTa1</t>
  </si>
  <si>
    <t>http://www.huffingtonpost.es</t>
  </si>
  <si>
    <t>Viva Campo Gibraltar</t>
  </si>
  <si>
    <t>Pablo Casado apoyará a Gobierno si veta acuerdo del Brexit</t>
  </si>
  <si>
    <t>http://ow.ly/gsvK50jLYVu</t>
  </si>
  <si>
    <t>Campo de Gibraltar</t>
  </si>
  <si>
    <t>El primer periódico gratuito del Campo de Gibraltar. Cuenta Oficial</t>
  </si>
  <si>
    <t>http://www.vivacampodegibraltar.es</t>
  </si>
  <si>
    <t>JMP 🌌🌍🇪🇺🇪🇸🏠</t>
  </si>
  <si>
    <t>Nada nuevo bajo el sol 👇 OPINIÓN | Las mentiras de Pablo Casado sobre la renovación del Poder Judicial y el ‘wasap’ de Cosidó, por Ignacio Escolar  vía @iescolar</t>
  </si>
  <si>
    <t>Manuel Arroyo Durán</t>
  </si>
  <si>
    <t xml:space="preserve">Aquí,siempre,Aquí. </t>
  </si>
  <si>
    <t>Hago cosas y después de hacerlas soy Secretario de comunicación y participación del @psoesantander ⭕ Sin master alguno. El niño de la bici habita en mí.</t>
  </si>
  <si>
    <t>https://www.facebook.com/JMPCAN</t>
  </si>
  <si>
    <t>Periodista</t>
  </si>
  <si>
    <t>Francisco J Morrondo</t>
  </si>
  <si>
    <t>Mariluz</t>
  </si>
  <si>
    <t>http://page.is/patximorrondo-j</t>
  </si>
  <si>
    <t>Tania Crespo</t>
  </si>
  <si>
    <t>Leo estas cosas y me pregunto cómo alguien puede votar a estos corruptos. Si no defendemos un gobierno digno, nos arrepentiremos décadas.</t>
  </si>
  <si>
    <t>https://m.eldiario.es/escolar/Pablo-Casado-Poder-Judicial-Cosido_6_838576166.html</t>
  </si>
  <si>
    <t xml:space="preserve"> Valencia</t>
  </si>
  <si>
    <t>Me encanta mi familia, adoro Valencia. Socialista por convicción.</t>
  </si>
  <si>
    <t>Yumland🍔💨</t>
  </si>
  <si>
    <t>Al final @ElComidista ha conseguido que eliminen la farsa del Mc Donalds del otro día con Samantha Vallejo, pero ahora ¿Qué hacemos con Pablo Casado?</t>
  </si>
  <si>
    <t>https://pbs.twimg.com/media/DsrvxBJXoAAoWlN.jpg</t>
  </si>
  <si>
    <t>Entre Tarragona y Madrid</t>
  </si>
  <si>
    <t>Hago vídeos para @cocinatis portal de cocina de A3Media. Apasionado de la comida americana. http://youtube.com/Yumland ✉:info@yumland.es</t>
  </si>
  <si>
    <t>https://www.youtube.com/c/yumland?sub_confirmation=1</t>
  </si>
  <si>
    <t>SrGOGOL</t>
  </si>
  <si>
    <t>Ya lo sabíamos, pero aquí se demuestra que CASADO es un completo FALSARIO. Lean.</t>
  </si>
  <si>
    <t>Diga lo que diga, afirme lo que afirme, siempre me queda la duda.</t>
  </si>
  <si>
    <t>@josPobleteBrav1</t>
  </si>
  <si>
    <t>Un excelente análisis y mejor documento para trabajar entre tod@s.....La ideología del millonario @cuartopoder</t>
  </si>
  <si>
    <t>https://www.cuartopoder.es/ideas/2018/08/05/pablo-casado-impuesto-sucesiones-ideologia-millonario/</t>
  </si>
  <si>
    <t>Málaga, España</t>
  </si>
  <si>
    <t>Esposo, Papá, Profesor, Patiperro, Hijo de Agua Negra (Curicó), Boquerón (Málaga) y, por tanto, que más PODEMOS pedir en esta vida.....💜💜♎️♎️🚺</t>
  </si>
  <si>
    <t>Xavi Tomàs delaCruz</t>
  </si>
  <si>
    <t>Pablo Casado dice que la exaltación del franquismo solo debería estar prohibida si es violenta, como la del comunismo  via @eldiarioes</t>
  </si>
  <si>
    <t>Ubicat a l' espai infinit i més enllà</t>
  </si>
  <si>
    <t>Persona humana.</t>
  </si>
  <si>
    <t>Rosa Maria</t>
  </si>
  <si>
    <t>madre...</t>
  </si>
  <si>
    <t>Aitona Cabreado</t>
  </si>
  <si>
    <t>Donostia</t>
  </si>
  <si>
    <t>De izquierdas republicano siempre en lucha contra mis contradiccones</t>
  </si>
  <si>
    <t>Veo Info</t>
  </si>
  <si>
    <t>Pablo Casado, visita la provincia de Almería en un acto electoral</t>
  </si>
  <si>
    <t>http://www.youtube.com/watch?v=TSOHesKA3AQ
https://www.veoinfo.com/pablo-casado-visita-la-provincia-de-almeria-en-un-acto-electoral/</t>
  </si>
  <si>
    <t>El Mundo</t>
  </si>
  <si>
    <t>En Veo Info - La Casa de la Información . Las últimas noticias sobre Política, sucesos, deportes, ciencia, tecnología, y mucho + en Veo Info.</t>
  </si>
  <si>
    <t>http://Veoinfo.com</t>
  </si>
  <si>
    <t>Ángel Fdez. Silva</t>
  </si>
  <si>
    <t>💬 Pablo Casado 👉 “El Gobierno que me insultaba por avisar en el exterior de la política nefasta de Sánchez, recibe el varapalo de Bruselas"</t>
  </si>
  <si>
    <t>https://www.elmundo.es/economia/macroeconomia/2018/11/21/5bf550ef46163f8e5a8b460a.html</t>
  </si>
  <si>
    <t>Salamanca</t>
  </si>
  <si>
    <t>Enamorado de Salamanca y atlético de corazón. Presidente @NNGGSalamanca Lic. en Derecho, Democracia y Buen Gobierno, investigador en la USAL.</t>
  </si>
  <si>
    <t>http://www.lagacetadesalamanca.es/angel-fdez-silva/</t>
  </si>
  <si>
    <t>Hermanos Peláez</t>
  </si>
  <si>
    <t>Dejad de dar pistas sobre lo de Pablo Casado. Por mi parte, le deseo que pase muchos años como presidente del PP.</t>
  </si>
  <si>
    <t>Soy el de la pandereta en la tuna de la Universidad de La Vida.</t>
  </si>
  <si>
    <t>Red</t>
  </si>
  <si>
    <t>Pablo Casado dice otra gilipollez, da igual cuando leas esto RT @eldiarioes: Pablo Casado dice que la exaltación del franquismo solo debería estar prohibida si es violenta, como la del comunismo</t>
  </si>
  <si>
    <t>https://twitter.com/eldiarioes/status/1065734670195859456
https://www.eldiario.es/politica/Pablo-Casado-exaltacion-franquismo-probidida_0_838516217.html</t>
  </si>
  <si>
    <t>https://pbs.twimg.com/media/DsoteRRV4AAO1jd.jpg</t>
  </si>
  <si>
    <t>lo que pone en mi bio es verdad</t>
  </si>
  <si>
    <t>Jordi Mondragón</t>
  </si>
  <si>
    <t>Pablo Casado intenta comprar una remesa de esclavos en el Black Friday  via @eljueves</t>
  </si>
  <si>
    <t>Metge psiquiatre, compromès, lliurepensador. #FemRepublica cada dia. #LlibertatOstatgesCatalans</t>
  </si>
  <si>
    <t>https://www.blogger.com/blogger.g?blogID=8333473903934007604#allposts</t>
  </si>
  <si>
    <t>Luis de Cairo</t>
  </si>
  <si>
    <t>Segovia</t>
  </si>
  <si>
    <t>Nuestra generación tendrá que arrepentirse, no tanto de la maldad de la gente perversa como del pasmoso silencio de la gente buena.</t>
  </si>
  <si>
    <t>MARIANO RAJOY FAKE</t>
  </si>
  <si>
    <t>Parece evidente que la política incendiaria que Pablo Casado está utilizando en Cataluña ya está dando sus frutos.</t>
  </si>
  <si>
    <t>https://pbs.twimg.com/media/DsrrAqaXgAEdPJ9.jpg</t>
  </si>
  <si>
    <t>Registrador de la propiedad. Muy español y mucho español.</t>
  </si>
  <si>
    <t>Luis González</t>
  </si>
  <si>
    <t>Como @iescolar es un periodista y no puede decirlo lo digo yo. ¡¡¡ODIO A LOS PUTOS MENTIROSOS SINVERGÜENZAS COMO "master" PABLO CASADO QUE TE MEA Y DICE QUE LLUEVE!!!! @pablocasado_ al trullo! Las mentiras de Pablo Casado</t>
  </si>
  <si>
    <t>Comunidad de Madrid, España</t>
  </si>
  <si>
    <t>La ciencia, la justicia y la sostenibilidad son el único legado valioso para nuestros hijos. Ojo, exigen refundar la democracia. Biólogo y emigrante retornado.</t>
  </si>
  <si>
    <t>JL (Capi) 😎</t>
  </si>
  <si>
    <t>INCULTURA, HIPOCRESÍA y MALA LECHE. Pablo Casado y Albert Rivera acusan a Pedro Sánchez Pérez-Castejón de no entrevistarse con los disidentes en su reciente visita a Cuba. Ambos "acusadores" demuestran su grave...</t>
  </si>
  <si>
    <t>★Antídoto★ 🎗🔻</t>
  </si>
  <si>
    <t>https://www.facebook.com/100003395081586/posts/1764317367024749/</t>
  </si>
  <si>
    <t>Más p'allá de Mordor</t>
  </si>
  <si>
    <t>Soy el protagonista de mi vida. SIEMPRE ES TEMPRANO PARA RENDIRSE. 😎</t>
  </si>
  <si>
    <t xml:space="preserve">Rep. Independiente Vallekas </t>
  </si>
  <si>
    <t>Quieres identificarme? Tienes un problema... Nací sin carnet VALLEKAS NUESTRO</t>
  </si>
  <si>
    <t>proyectocosme</t>
  </si>
  <si>
    <t>Pablo Casado - Los de izquierdas son unos carcas, todo el día con la fos...  vía @YouTube</t>
  </si>
  <si>
    <t>https://youtu.be/3I6uSboAxhE</t>
  </si>
  <si>
    <t>Ingeniero Raditécnico Universidad Lomonosov Moscú Tecnólogo Industrial. Traductor Ruso-Español-Español Ruso Lic.Ciencias Pilíticas San Petersburgo</t>
  </si>
  <si>
    <t>http://www.tecnitrad.com</t>
  </si>
  <si>
    <t>abel miravet rubio</t>
  </si>
  <si>
    <t>http://www.elperiodico.com</t>
  </si>
  <si>
    <t>ÜT: 41.480901,2.292257</t>
  </si>
  <si>
    <t>Masnovi de neixement i Alellenc d'adopció, compromes amb la societat, Socialista Sobiranista i Republica.</t>
  </si>
  <si>
    <t>http://m.sanacio-holistica-aguila-blanca.es/</t>
  </si>
  <si>
    <t>Mª DOLORES SÁNCHEZ</t>
  </si>
  <si>
    <t>Conclusión: Pablo Casado es un embustero y los jueces que pone el PP es para que sean buenos con ellos. OPINIÓN | Las mentiras de Pablo Casado sobre la renovación del Poder Judicial y el ‘wasap’ de Cosidó, por Ignacio Escolar  vía @iescolar</t>
  </si>
  <si>
    <t>ferpectamente</t>
  </si>
  <si>
    <t>PartidoRepublicanoEs</t>
  </si>
  <si>
    <t>OPINIÓN | Las mentiras de Pablo Casado sobre la renovación del Poder Judicial y el ‘wasap’ de Cosidó, por Ignacio Escolar  vía @iescolar Bueno, no es novedad , solo un incauto cree a Casado!</t>
  </si>
  <si>
    <t>Por una democracia real de iguales, dotada de pluralidad y participativa; con el objetivo del bien común sin olvidar nunca que el único soberano es el pueblo</t>
  </si>
  <si>
    <t>http://partidorepes.wordpress.com</t>
  </si>
  <si>
    <t>https://twitter.com/La_SER/status/1065522657133654016
http://cadenaser.com/programa/2018/11/21/hoy_por_hoy/1542803484_524062.html?ssm=tw-hxh</t>
  </si>
  <si>
    <t>https://pbs.twimg.com/media/Dsl_NCQUwAEWVoD.jpg</t>
  </si>
  <si>
    <t>El Bierzo</t>
  </si>
  <si>
    <t>Complicado eso de describirse.</t>
  </si>
  <si>
    <t>Jorge Estrella Benav</t>
  </si>
  <si>
    <t>Tensión entre Pepa Bueno y Pablo Casado: "Desde Esperanza Aguirre no he tenido tantas dificultades"  BEST SELLER, ESPAÑOL: TONTO Y RETONTO WN TODOS LOS PLANOS.</t>
  </si>
  <si>
    <t>https://www.huffingtonpost.es/2018/11/22/tension-entre-pepa-bueno-y-pablo-casado-desde-esperanza-aguirre-no-he-tenido-tantas-dificultades-para-hacer-preguntas_a_23596803/?ncid=other_twitter_cooo9wqtham&amp;utm_campaign=share_twitterNUEVO</t>
  </si>
  <si>
    <t>Guayaquil- Ecuador</t>
  </si>
  <si>
    <t>Guayaquileño, hincha a muerte de Emelec, me gusta la historia y las ciencias politicas. Impulso procesos de participacion ciudadana, entre lo más importante.</t>
  </si>
  <si>
    <t>Diego Cruz</t>
  </si>
  <si>
    <t>Las cosas de don @pablocasado_ y sus #nostalgiasinfinitas</t>
  </si>
  <si>
    <t>https://m.eldiario.es/politica/Pablo-Casado-exaltacion-franquismo-probidida_0_838516217.amp.html</t>
  </si>
  <si>
    <t>Aquí mi blog personal</t>
  </si>
  <si>
    <t>Celebrando la existencia en torno a las palabras. ¿Conversamos?</t>
  </si>
  <si>
    <t>http://www.diariodeuntranseunte.es</t>
  </si>
  <si>
    <t>Núria Garrigós Perís</t>
  </si>
  <si>
    <t>según la situación geopolítica</t>
  </si>
  <si>
    <t>Scientia et indagatio...(Jefa de estudios de ESCUELA INTERNACIONAL DE CRIMINOLOGIA )- cuenta personal</t>
  </si>
  <si>
    <t>JOSÉ ANTONIO ÁLVAREZ</t>
  </si>
  <si>
    <t xml:space="preserve">Oviedo, España, San Fernando, </t>
  </si>
  <si>
    <t>Medalla De Oro Cruz Roja Española 2013 Asturiano y Cañailla. Cofundador y Presidente en 1990 de la Asociación Amigos de Grado. Actualmente Vicepresidente.</t>
  </si>
  <si>
    <t>Francisco Cohortado</t>
  </si>
  <si>
    <t>A los historiadores Pablo Casado les da mucha vergüenza. A los seres humanos en general también.</t>
  </si>
  <si>
    <t>Rojo, laicista, republicano, feminista y antifascista de mente abierta. Defensor de la igualdad, de la justicia social, de la cultura y de lo público.</t>
  </si>
  <si>
    <t>jose silva</t>
  </si>
  <si>
    <t>Por eso, hace tan solo unos días, Pablo Casado reunió a los suyos, les preguntó su opinión y se dio cuenta de que su partido está muy dividido en este asunto.</t>
  </si>
  <si>
    <t>Remedios Ramos #AdelanteAndalucia</t>
  </si>
  <si>
    <t>Pablo Casado dice que la exaltación del franquismo solo debería estar prohibida si es violenta, como la del comunismo,si te quieres poner a la altura de VOX ,en lugar de ganar votos, llevarás a tu partido a la marginalidad en la q está vox  vía @eldiarioes</t>
  </si>
  <si>
    <t>Madre, Trabajadora de la Sanidad Pública, Comunista, de IU y Concejala del Ayuntamiento de Málaga por Málaga Para la Gente</t>
  </si>
  <si>
    <t>Dori Fernández</t>
  </si>
  <si>
    <t>Si no luchamos..... ya hemos perdido de antemano</t>
  </si>
  <si>
    <t>https://afaramos.blogspot.com/</t>
  </si>
  <si>
    <t>Manuel</t>
  </si>
  <si>
    <t>Pablo Casado,no se sabe que hizo o no con sus estudios regalados y el Master pero a la clase de Historia no se presentó o no tenía que ir para el regalo?</t>
  </si>
  <si>
    <t>Aprendiz de casi todo, maestro de nada, Me gusta opinar,escritor frustrado y luchador. vive y deja vivir, andando se hace camino. La Rambla (Cordoba,</t>
  </si>
  <si>
    <t>FeSMC-UGT Aragón</t>
  </si>
  <si>
    <t>Las mentiras de Pablo Casado sobre la renovación del Poder Judicial y el ‘wasap’ de Cosidó  @iescolar en @eldiarioes</t>
  </si>
  <si>
    <t>Planeta Tierra</t>
  </si>
  <si>
    <t>Aragón</t>
  </si>
  <si>
    <t>Cuenta Oficial en Twitter de la Federación de Servicios, Movilidad y Consumo de la Unión General de Trabajadores (UGT) en Aragón.</t>
  </si>
  <si>
    <t>http://www.fesmcugtaragon.es</t>
  </si>
  <si>
    <t>https://twitter.com/elmundoes/status/1065289653098635267
https://trib.al/nF24Oh1</t>
  </si>
  <si>
    <t>Jose Luis Rodriguez</t>
  </si>
  <si>
    <t>Pablo Casado debe ser más cuidadoso porque va a ir al infierno por mentiroso</t>
  </si>
  <si>
    <t>exJefe servicio H Fuenlabrada Residente Gastroenterologia en New Jersey College of Medicine, Newark, NJ Ha estudiado Fellowship en McGill University</t>
  </si>
  <si>
    <t>Carlos Hernández</t>
  </si>
  <si>
    <t>Primer programa de El debate de la historia con Juan Pablo Fusi y su Historia mínima de España @eldebatedehoy con @pablo_casado y Miguel Jiménez de Cisneros de @historiaceu @HumYComCEU @CMSanPablo</t>
  </si>
  <si>
    <t>https://www.ivoox.com/30262966</t>
  </si>
  <si>
    <t>Madrid/La Palma</t>
  </si>
  <si>
    <t>@USPCEU - Historia Contemporánea - PhD - Director del @CMSanPablo - siempre aprendiendo</t>
  </si>
  <si>
    <t>http://explicarelpresente.wordpress.com</t>
  </si>
  <si>
    <t>Quique Muela👀📌</t>
  </si>
  <si>
    <t>Lo de mentir lo lleva en la sangre | Las mentiras de Pablo Casado sobre la renovación del Poder Judicial y el ‘wasap’ de Cosidó</t>
  </si>
  <si>
    <t>https://buff.ly/2KsJfKG</t>
  </si>
  <si>
    <t>Alcalá de Henares - Madrid</t>
  </si>
  <si>
    <t>Cuenta oficial de mi mismo. Eventualmente Presidente de @FCAVAH. Me pego con el hardware. De Madrid, rojo y rojiblanco 🔗http://esteatleti.wordpress.com</t>
  </si>
  <si>
    <t>http://www.whomples.es/</t>
  </si>
  <si>
    <t>federico noriega gon</t>
  </si>
  <si>
    <t>sevilla</t>
  </si>
  <si>
    <t>Técnico bancario en situación de pasivo. Activista sindical, ecopacifista y constituyente, trabajando con ilusión en PODEMOS</t>
  </si>
  <si>
    <t>moly</t>
  </si>
  <si>
    <t>Barcelona, Cataluña</t>
  </si>
  <si>
    <t>Vivo en las fosas marianas...</t>
  </si>
  <si>
    <t>un paseo x el mundo virtual es menos jodido q x el real...</t>
  </si>
  <si>
    <t>Economista Cabreado</t>
  </si>
  <si>
    <t>-A la izquierda Pablo Casado en Enero cuando acusaba de antisemitas a los ayuntamientos del cambio que promovían campañas #BDS -A la derecha cuando equipara un símbolo de solidaridad con unos presos con la barbarie que hacían los nazis con los judíos Se le ha ido la cabeza...</t>
  </si>
  <si>
    <t>https://pbs.twimg.com/media/DsrgQdkWwAAVuxd.jpg</t>
  </si>
  <si>
    <t>GallegoValenciano en Madrid</t>
  </si>
  <si>
    <t>Nunca os lo había dicho, pero me llamo Yago. Aprende economía para que no te joda un economista. Dando @ElSaltoDiario a los lomos de @ElSalmonContra DM abiertos</t>
  </si>
  <si>
    <t>https://elsaltodiario.com/el-salmon-contracorriente</t>
  </si>
  <si>
    <t>Juan A.</t>
  </si>
  <si>
    <t>#AznarIsComing aquellos que ven el pasado de Aznar en la figura de Pablo Casado deberían de pensar en lo que representa Coleta Morada, es decir, Pablo Iglesias. Lenin? Stalin? Da bastante más miedo volver 100 años atrás que lo ocurrido durante el gobierno de Aznar</t>
  </si>
  <si>
    <t>Juan Miguel Baquero</t>
  </si>
  <si>
    <t>Y esto nos pasa, niños, por no HABER ESTUDIAO.</t>
  </si>
  <si>
    <t>freelance journalist</t>
  </si>
  <si>
    <t>Periodista. #MemoriaHistórica para @eldiarioes y más allá. 'Me alquilo para soñar. En realidad, era mi único oficio', Gabriel García Márquez.</t>
  </si>
  <si>
    <t>http://www.eldiario.es/autores/juan_miguel_baquero/</t>
  </si>
  <si>
    <t>Titulares 24 horas</t>
  </si>
  <si>
    <t>Noticias las 24 horas del dia</t>
  </si>
  <si>
    <t>Pablo Casado es el ojito derechon de #AznarIsComing , Aznar el creador de: 🔴 El milagro económico de Rato 🔴 El que vió armas de destrucción en Irak pero luego no vió soldados Españoles allí 🔴 El que compartió la boda de su hija con toda la trama Gurtel ...</t>
  </si>
  <si>
    <t>pic.twitter.com/fNyjoHN8ix</t>
  </si>
  <si>
    <t>Adela Cañas Fermín</t>
  </si>
  <si>
    <t>https://ift.tt/2PMfB9c</t>
  </si>
  <si>
    <t>En las nubes</t>
  </si>
  <si>
    <t>No hay alivio más grande que comenzar a ser lo que se es</t>
  </si>
  <si>
    <t>Iliana DFernández</t>
  </si>
  <si>
    <t>Juan Berjano</t>
  </si>
  <si>
    <t>Pablo Casado intenta comprar una remesa de esclavos en el Black Friday  vía @eljueves</t>
  </si>
  <si>
    <t>Joseito Fernández GrandFather Guajira Guantanamera Soprano Voice @bmi @TimesUPNOw #Adoption #CubanMoms. @FAO. @omctorg @Anticorruption. #VZLA @JoelOsteen #JESUS</t>
  </si>
  <si>
    <t>http://www.youtube.com/sila661</t>
  </si>
  <si>
    <t>Badajoz, Extremadura</t>
  </si>
  <si>
    <t>JUAN BERJANO, Gran Maestro de Artes Marciales con 12 Títulos Mundiales y casi 90 Medallas. #PSOE #YoConPedro 🌹#BADAJOZ #ESPAÑA🇪🇸#JAPÓN 🇯🇵</t>
  </si>
  <si>
    <t>IU ParacuellosBelvis</t>
  </si>
  <si>
    <t>http://iuparacuellos.wordpress.com</t>
  </si>
  <si>
    <t>Carmen Moraga</t>
  </si>
  <si>
    <t>Y de esos 4 meses lleva más de uno 'viviendo' practicamente en Andalucía de acto en acto, incluso 3 diarios.. hasta el 2D ENTREVISTA | Juanma Moreno (PP): "Pablo Casado lleva cuatro meses, nadie le puede responsabilizar de las andaluzas"  vía @eldiarioand</t>
  </si>
  <si>
    <t>https://www.eldiario.es/_31fac11c</t>
  </si>
  <si>
    <t>Periodista. Freelance. Licenciada en la Complu. Me encanta la vida y mi profesión, por este orden.Colaborando con eldiario.es. Mis opiniones en Twitter son mías</t>
  </si>
  <si>
    <t>En Blau es</t>
  </si>
  <si>
    <t>Con la polémica sobre la elección del presidente del CGPJ sobre la mesa, Pepa Bueno ha empezado al ataque</t>
  </si>
  <si>
    <t>http://bit.ly/2FySLx7</t>
  </si>
  <si>
    <t>http://www.enblau.com/es/</t>
  </si>
  <si>
    <t>KO Diario</t>
  </si>
  <si>
    <t>NO TE CREERÁS LO QUE OCURRE A CONTINUACIÓN.... Pablo Casado y el Partido Popular que presumen de “demócratas” exaltando el Fascismo y el Régimen Nazi. O si te lo crees? #FelizFinde</t>
  </si>
  <si>
    <t>pic.twitter.com/3iTSF2NP4c</t>
  </si>
  <si>
    <t>UnGalegonaCapital🎗🔻🇵🇸🇨🇺🏳️‍🌈</t>
  </si>
  <si>
    <t>Pais multicolor👧🏿👦🏻👩🏽🧑</t>
  </si>
  <si>
    <t>UN KO AL DÍA...O MÁS. Depende del ambientazo que haya por aquí. Visítanos y síguenos en Facebook https://www.facebook.com/kodiario/</t>
  </si>
  <si>
    <t>https://www.facebook.com/kodiario/</t>
  </si>
  <si>
    <t>Guadalix de la Sierra, Comunid</t>
  </si>
  <si>
    <t>eldiario.es</t>
  </si>
  <si>
    <t>Cuando más golpean las circunstancias a un pueblo yo me levantó contra las circustancias con más fuerza.</t>
  </si>
  <si>
    <t>ENTREVISTA | Juanma Moreno (PP): "Pablo Casado lleva cuatro meses, nadie le puede responsabilizar de las andaluzas"  Por @DaniCela8</t>
  </si>
  <si>
    <t>https://www.eldiario.es/andalucia/Elecciones_en_Andalucia_2018-Juan_Manuel_Moreno-2D_0_838517020.html</t>
  </si>
  <si>
    <t>https://pbs.twimg.com/media/Dsrca6AWoAAwTTs.jpg</t>
  </si>
  <si>
    <t>Periodismo a pesar de todo. Colabora: Hazte socio -- http://www.eldiario.es/socios/alta.html</t>
  </si>
  <si>
    <t>http://www.eldiario.es</t>
  </si>
  <si>
    <t>pic.twitter.com/8FZQxix76j</t>
  </si>
  <si>
    <t>República de Catalunya</t>
  </si>
  <si>
    <t>Ana Maria Palos</t>
  </si>
  <si>
    <t>La Universidad Rey Juan Carlos contrata como profesor a Pablo Casado</t>
  </si>
  <si>
    <t>http://www.komchen.org</t>
  </si>
  <si>
    <t>Carlos González</t>
  </si>
  <si>
    <t>OPINIÓN | Las mentiras de Pablo Casado sobre la renovación del Poder Judicial y el ‘wasap’ de Cosidó por Ignacio Escolar  vía @iescolar</t>
  </si>
  <si>
    <t>Pensionista...hasta que dure. Harto de cleptómanos y corruptos. Indignado tirando a cabreado y...engañado.</t>
  </si>
  <si>
    <t>VerdadYa</t>
  </si>
  <si>
    <t>Santander, España</t>
  </si>
  <si>
    <t>Defensora de la naturaleza, de los animales y, entre ellos, de los humanos. De izquierdas. Republicana. Librepensadora.</t>
  </si>
  <si>
    <t>http://www.ecopanaderia.com</t>
  </si>
  <si>
    <t>Su 'madrina' política fue Cifuentes pero su punto débil es que no está afiliado al PP. Jaime de los Santos, el tapado de Pablo Casado para Madrid @CasaReal @CiudadanosCs @PSOE @PPopular</t>
  </si>
  <si>
    <t>https://www.moncloa.com/jaime-santos-pablo-casado-madrid/</t>
  </si>
  <si>
    <t>Jordi Mota Sierra</t>
  </si>
  <si>
    <t>Girona - Catalunya</t>
  </si>
  <si>
    <t>Vicepresident del Consell Municipal LGTBI de Girona President de la Comissió Unitària 28 de Juny de Girona.</t>
  </si>
  <si>
    <t>http://jopassavaperaqui.wordpress.com</t>
  </si>
  <si>
    <t>Josep Peiró</t>
  </si>
  <si>
    <t>Wine consultant. BCN Epicur cigars club follower. Like to pair wine with good food and music.</t>
  </si>
  <si>
    <t>Francisco Almeda</t>
  </si>
  <si>
    <t>El resumen de lo que vais a leer en este escrito de Ignacio Escolar, es: El CGPJ es la prolongación de la mafia del PP, y lo seguirá siendo si no votamos izquierda en manera mayoritaria a partir de ahora durante los próximos 20 años.</t>
  </si>
  <si>
    <t>Socialista, orgulloso del PSOE y su militancia. Abogado.</t>
  </si>
  <si>
    <t>http://noalppgurteldiseloatusamigos.blogspot.com.es/</t>
  </si>
  <si>
    <t>Minerva Jesús Suarez</t>
  </si>
  <si>
    <t>Hola, soy Juanma me colocó Soraya, la dejé tirada a la primera de cambio y ahora le chupo el culo a Casado: ENTREVISTA | Juanma Moreno (PP): "Pablo Casado lleva cuatro meses, nadie le puede responsabilizar de las andaluzas"  vía @eldiarioand</t>
  </si>
  <si>
    <t>https://twitter.com/elperiodico/status/1064199052697497601
http://elperiodi.co/fl0fv2</t>
  </si>
  <si>
    <t>Murcia, España</t>
  </si>
  <si>
    <t>Retuiteo lo que me gusta, me deja estupefacta o como denuncia. Déjenme que les diga un secreto ESPAÑA ES UNO DE LOS PAISES MAS MARAVILLOSOS DEL MUNDO.</t>
  </si>
  <si>
    <t>José Juan López</t>
  </si>
  <si>
    <t>Gandia</t>
  </si>
  <si>
    <t>De Gandia. GRUPO JULIAN LÓPEZ. Presidente associació MOSAIC @MosaicGandia Ejecutiva territorial @socialistesGND A veces siento una perturbación en la fuerza.</t>
  </si>
  <si>
    <t>Euskal Herria</t>
  </si>
  <si>
    <t>KaZe15</t>
  </si>
  <si>
    <t>La "democracia" española, está cimentada sobre un montón de mierda.</t>
  </si>
  <si>
    <t>P.Viruega</t>
  </si>
  <si>
    <t>http://page.is/R.Torres</t>
  </si>
  <si>
    <t>Cristina Ballesteros</t>
  </si>
  <si>
    <t>Valladolid, España</t>
  </si>
  <si>
    <t>Juan Alvite</t>
  </si>
  <si>
    <t>Separación de poderes según el PP. Luego os quejáis de que queramos mandar éste régimen a la basura, empezando por el Rey. Las mentiras de Pablo Casado sobre la renovación del Poder Judicial y el ‘wasap’ de Cosidó</t>
  </si>
  <si>
    <t>Podemista, Madrileño, Otaku orgulloso, apasionado de La Música y convencido demócrata a pesar de nuestra patética democracia.</t>
  </si>
  <si>
    <t>🌹Juan Jose❤💛💜</t>
  </si>
  <si>
    <t>Las mentiras de 👎 @pablocasado_ 👎 sobre la renovación del Poder Judicial y el ‘wasap’ de Cosidó, por Ignacio Escolar  vía @iescolar</t>
  </si>
  <si>
    <t>http://www.juanbcn.net</t>
  </si>
  <si>
    <t>Txema</t>
  </si>
  <si>
    <t>S.Infraest. Movilidad #Resistance Amigo d Amigos #Sociata #Humanist #CitoyenduMonde, Docente #PaperliActivist #Rebels #Red Cleaned #Irreverent No DM Earth</t>
  </si>
  <si>
    <t>Francisco M. Ortega</t>
  </si>
  <si>
    <t>Las mentiras de Pablo Casado sobre la renovación del Poder Judicial y el ‘wasap’ de Cosidó Un repaso a las dudosas explicaciones del presidente del PP durante la entrevista que dio este jueves a Pepa Bueno en la Cadena SER</t>
  </si>
  <si>
    <t>https://buff.ly/2S9YGtX</t>
  </si>
  <si>
    <t>Mi patria es ‘ningún sitio’, ese hermoso lugar que es de todos.</t>
  </si>
  <si>
    <t>http://elsexodelasmoscas.blogspot.com/</t>
  </si>
  <si>
    <t>Angie K.</t>
  </si>
  <si>
    <t>Para mientras estemos en su mundo de mierda, no hay que suprimirlo, hay que regularlo. Suprimirlo es...</t>
  </si>
  <si>
    <t>https://stopsucesiones.org/%f0%9f%9b%91el-presidente-del-partido-popular-pablo-casado-se-compromete-con-stop-sucesiones-a-suprimir-el-impuesto-a-las-herencias-en-toda-espana/</t>
  </si>
  <si>
    <t>Comunicación Audiovisual</t>
  </si>
  <si>
    <t>pablo ortega navarro</t>
  </si>
  <si>
    <t>Estoy quemado y no es del sol.</t>
  </si>
  <si>
    <t>J. A. Caballero Gea</t>
  </si>
  <si>
    <t>Manuela Carmena y su microondas ¿Incentiva a sus electores? Sí. Aunque no tengan un horno tan cutre. Pablo Casado, sin corbata y con la chaquetilla abierta ¿Incentiva a sus electores? No. Aunque vayan con camiseta y «chupa».</t>
  </si>
  <si>
    <t>Escritor de libros jurídicos, doctor en Derecho, graduado en Criminología, magistrado jubilado</t>
  </si>
  <si>
    <t>https://caballerogea.blogspot.com/</t>
  </si>
  <si>
    <t>G. Alvarez #NoTiPP</t>
  </si>
  <si>
    <t>#FelizFinde Las mentiras de Pablo Casado sobre la renovación del Poder Judicial y el ‘wasap’ de Cosidó. "El PP ha roto el acuerdo con el PSOE sobre el Poder Judicial porque perdía al juez en el que más confiaban para el puesto."</t>
  </si>
  <si>
    <t>https://pbs.twimg.com/media/DsrWKC2X4AAegri.jpg</t>
  </si>
  <si>
    <t>Somos lo que hacemos para cambiar lo que somos. Eduardo Galeano. Bienvenid@s.</t>
  </si>
  <si>
    <t>Xavi de Sant Esteve de les Roures 🎗️ TRAM-13</t>
  </si>
  <si>
    <t>Comienza la toma de Gibraltar por parte de Albert ribera, Pablo casado y Santiago Abascal...🤣🤣🤣</t>
  </si>
  <si>
    <t>pic.twitter.com/DJDh9Em9EV</t>
  </si>
  <si>
    <t>Nascut a #Berga el meu cor dividit entre #Graugés #PuigReig i #Garrucha (Almeria) Segona residencia a @st_esteveroures 🎗️</t>
  </si>
  <si>
    <t>Lo Tamarro</t>
  </si>
  <si>
    <t>M.Rajoy🖐</t>
  </si>
  <si>
    <t>Uffff, y que el entrevistador no le diga nada...</t>
  </si>
  <si>
    <t>Físico. Observador de lo que pasa. Ciencia y Tecnologías. 30 años trabajando en Radio.</t>
  </si>
  <si>
    <t>PSOE</t>
  </si>
  <si>
    <t>“Si a mí alguna vez me tiene que renovar alguien, que me renueve Pablo Casado, que es un tío fantástico.” Son las palabras de Aznar dictando sucesor. No te pierdas lo que vino a continuación. #AznarIsComing ‼️⬇️</t>
  </si>
  <si>
    <t>Un gobierno por la igualdad. Por la justicia social. Para devolver la dignidad a las instituciones. Hacemos un país mejor. #somoslaizquierda</t>
  </si>
  <si>
    <t>http://www.psoe.es</t>
  </si>
  <si>
    <t>Chorizos Ibéricos</t>
  </si>
  <si>
    <t>Las mentiras de Pablo Casado sobre la renovación del Poder Judicial y el Whatsapp de Cosidó  Un repaso a las dudosas explicaciones del presidente del PP durante la entrevista que dio este jueves en la Cadena SER.</t>
  </si>
  <si>
    <t>No te lo contarán en las teles ni en los quioscos. Desde ya, chorizo patrio bajo en calorías aquí: @chorizosveganos</t>
  </si>
  <si>
    <t>http://www.chorizosibericos.es</t>
  </si>
  <si>
    <t>ElNacional .cat</t>
  </si>
  <si>
    <t>Con la polémica sobre la elección del presidente del CGPJ sobre la mesa, Pepa Bueno ha empezado al ataque | Vía @En_Blau_es</t>
  </si>
  <si>
    <t>Última hora política y económica de Catalunya, España e internacional. Creado por José Antich. FB http://facebook.com/elnacionalcates/ En catalán @elnacionalcat</t>
  </si>
  <si>
    <t>http://www.elnacional.cat/es/</t>
  </si>
  <si>
    <t>PSOE Aragón</t>
  </si>
  <si>
    <t>🔴 @JLambanM: "Usted es un simple delegado de Pablo Casado, al que se le parece mucho. Hay mundo fuera de Tarazona, señor @LuismaBeamonte" #PlenoAragón</t>
  </si>
  <si>
    <t>https://pbs.twimg.com/media/DsrS8S6W0AYh5th.jpg</t>
  </si>
  <si>
    <t>Partido de los Socialistas de Aragón (PSOE). Desde 1978 luchando por mejorar la vida de los aragoneses. Con @JLambanM</t>
  </si>
  <si>
    <t>http://ow.ly/kA7BV</t>
  </si>
  <si>
    <t>Javier</t>
  </si>
  <si>
    <t>Medico de la sanidad pública. Amante de la naturaleza, la música, defensor de los animales incluyendo los toros y luchador por un mundo mejor.</t>
  </si>
  <si>
    <t>Teresa</t>
  </si>
  <si>
    <t>Carlos Ortiz de Zára</t>
  </si>
  <si>
    <t>Villaviciosa Asturias</t>
  </si>
  <si>
    <t>Escritor. Doctor en Filología Románica y Profesor jubilado de Civilización Francesa en la ULPGG. correo: ortizdezaratecarlos@gmail.com</t>
  </si>
  <si>
    <t>http://carlos-ortizdezarate.blogspot.com</t>
  </si>
  <si>
    <t>María Félix</t>
  </si>
  <si>
    <t>Juan José Romero</t>
  </si>
  <si>
    <t>Mister cojo.</t>
  </si>
  <si>
    <t>Profesor de Física y Química en Málaga, un poco rarito, eso sí.</t>
  </si>
  <si>
    <t>http://about.me/ieseccnn</t>
  </si>
  <si>
    <t>pepe barrio</t>
  </si>
  <si>
    <t>Excelente y clarificador artículo. Deja en evidencia totalmente al presidente del PP OPINIÓN | Las mentiras de Pablo Casado sobre la renovación del Poder Judicial y el ‘wasap’ de Cosidó, por Ignacio Escolar  vía @iescolar</t>
  </si>
  <si>
    <t>Profesor de secundaria</t>
  </si>
  <si>
    <t>Doménec Ortiz</t>
  </si>
  <si>
    <t>¿QUIERE CASADO SUPERAR A TRUMP EN MENTIRAS? VA POR BUEN CAMINO. OPINIÓN | Las mentiras de Pablo Casado sobre la renovación del Poder Judicial y el ‘wasap’ de Cosidó, por Ignacio Escolar  vía @iescolar</t>
  </si>
  <si>
    <t>Oliva (València)</t>
  </si>
  <si>
    <t>Tota una vida dedicada a l' ensenyança. Ex-director del Col.legi Alfadalí d'Oliva. M'agrada ajudar als demés. Passió per la lectura. Amunt sempre. 'Carpe diem'.</t>
  </si>
  <si>
    <t>José María Rodríguez</t>
  </si>
  <si>
    <t>Las Palmas de Gran Canaria</t>
  </si>
  <si>
    <t>Creativo, diseñador gráfico autodidacta, aficionado a la fotografía, aspirante a community manager y enamorado de las nuevas tecnologías. ¡Ah!... y piscis.</t>
  </si>
  <si>
    <t>http://about.me/rodriguezsanso</t>
  </si>
  <si>
    <t>Ramón Luque</t>
  </si>
  <si>
    <t>Con la raíz en l.Hospitalet.El alma en un mar de olivos.Ahora en la Comisión Ejecutiva del @europeanleft por @EUIA_cat Psuquero de por vida.</t>
  </si>
  <si>
    <t>Palma de Mallorca</t>
  </si>
  <si>
    <t>El Jueves</t>
  </si>
  <si>
    <t>La revista que sale los miércoles desde hace, por lo menos... buah. Mucho.</t>
  </si>
  <si>
    <t>http://www.eljueves.es</t>
  </si>
  <si>
    <t>RAMON YOPS</t>
  </si>
  <si>
    <t>Sed quid custodiet ipsos custodes?</t>
  </si>
  <si>
    <t>https://yopsramon.wordpress.com/</t>
  </si>
  <si>
    <t>F. Prado Alberdi</t>
  </si>
  <si>
    <t>Gijón (Asturias), España</t>
  </si>
  <si>
    <t>Metalúrgico, ahora jubilado. Sindicalista, ahora emérito. Presido una Fundación Cultura de CC. OO. de Asturias.</t>
  </si>
  <si>
    <t>http://pradoalberdi.wordpress.com/</t>
  </si>
  <si>
    <t>Vicente Garcia Castro</t>
  </si>
  <si>
    <t>Muras, España</t>
  </si>
  <si>
    <t>Ciudadano. Ciberactivista. Derechos Humanos. Justicia Social.</t>
  </si>
  <si>
    <t>https://www.facebook.com/lacorruptecapublica/?ref=settings</t>
  </si>
  <si>
    <t>Mórfac Cranajias</t>
  </si>
  <si>
    <t>Franquismo = violencia -&gt; Exaltación del franquismo = exaltación de la violencia. Comunismo: 1. m. Doctrina que establece una organización social en que los bienes son propiedad colectiva.  vía @eldiarioes  vía @eldiarioes</t>
  </si>
  <si>
    <t>Wesconsin</t>
  </si>
  <si>
    <t>Algo huele mal en la civilización de Occidente. Echaré flis.</t>
  </si>
  <si>
    <t>toPial</t>
  </si>
  <si>
    <t>Cádiz, España</t>
  </si>
  <si>
    <t>Ramón</t>
  </si>
  <si>
    <t>“En nombre de la tolerancia, tendríamos que reivindicar el derecho a no tolerar a los intolerantes". Karl Popper</t>
  </si>
  <si>
    <t>http://Instagram.com/ramonMLGA</t>
  </si>
  <si>
    <t>#CapitanRepública</t>
  </si>
  <si>
    <t>Pues eran muy de exaltarlo pegando tiros en la cabeza... Eso, debe de ser lo a forma pacífica de Pablito regálame el mastercito</t>
  </si>
  <si>
    <t>https://m.eldiario.es/politica/Pablo-Casado-exaltacion-franquismo-probidida_0_838516217.html#click=https://t.co/mdIzfZZ98a</t>
  </si>
  <si>
    <t>Amigo de causas perdidas... (alguna vez, espero ganar). Vivo en una aldea global llamada Mundo. De mayor, quiero ser niñ@. 👣👣👣 Caminando hacia la #República</t>
  </si>
  <si>
    <t>VdeRubén</t>
  </si>
  <si>
    <t>Pablo Casado y Albert Rivera tienen identidades secretas. Aporto pruebas:</t>
  </si>
  <si>
    <t>https://pbs.twimg.com/media/DsrOTbcXQAEZnj1.jpg</t>
  </si>
  <si>
    <t>Perifèria de BCN</t>
  </si>
  <si>
    <t>Citizen of Catalonian Republic. Defender la alegría como una trinchera, defenderla del escándalo y la rutina, de la miseria y los miserables</t>
  </si>
  <si>
    <t>Rosa Rojaparatí</t>
  </si>
  <si>
    <t>Socialista de corazón. Me gusta la política limpia. Me encantan los animales y la naturaleza.</t>
  </si>
  <si>
    <t>jose</t>
  </si>
  <si>
    <t>foios,valencia,españa</t>
  </si>
  <si>
    <t>Defensor de los derechos humanos.Contrario a austeridad,FMI,BM.Por un mundo verde que garantize la vida para las siguientes generaciones,hijos nietos etc.</t>
  </si>
  <si>
    <t>Juan M. Roldán</t>
  </si>
  <si>
    <t>Joaquin De Juan</t>
  </si>
  <si>
    <t>Resalto para la reflexión. Frente a las meras respuestas hipotalámicas y viscerotrópicas de ideologías cavernarias, intereses espurios o CI depauperado. "Las mentiras de Pablo Casado sobre la renovación del Poder Judicial y el ‘wasap’ de Cosidó"</t>
  </si>
  <si>
    <t>Alicante</t>
  </si>
  <si>
    <t>Professor of Cell Biology. MD, PhD. Pathologist. Director of the Chair of Reproductive Medicine. University of Alicante. Spain.</t>
  </si>
  <si>
    <t>http://blogs.ua.es/jdjdjp/category/vision-de-la-universidad/</t>
  </si>
  <si>
    <t>txetxu1954</t>
  </si>
  <si>
    <t>Tensión entre Pepa Bueno y Pablo Casado: "Desde Esperanza Aguirre no he tenido tantas dificultades"</t>
  </si>
  <si>
    <t>https://www.huffingtonpost.es/2018/11/22/tension-entre-pepa-bueno-y-pablo-casado-desde-esperanza-aguirre-no-he-tenido-tantas-dificultades-para-hacer-preguntas_a_23596803/?ncid=other_twitter_cooo9wqtham&amp;utm_campaign=share_twitter</t>
  </si>
  <si>
    <t>Burgos</t>
  </si>
  <si>
    <t>Jubilado. Ex Maestro. Afiliado de UGT y militante de un PSOE de compañeros, por lo tanto luchando para conseguirlo. Nada de barones ni mierda que se le parezca</t>
  </si>
  <si>
    <t>http://tallercitatxetxu.blogspot.com/</t>
  </si>
  <si>
    <t>Pepa Baamonde García</t>
  </si>
  <si>
    <t>Aitor Guerrero 🏳️‍🌈</t>
  </si>
  <si>
    <t>Pablo Casado es un clon de Aznar. ¿No te lo crees? Mira el vídeo 👇 #AznarIsComing</t>
  </si>
  <si>
    <t>pic.twitter.com/uDjZIIlmTx</t>
  </si>
  <si>
    <t>Un lugar llamado mundo</t>
  </si>
  <si>
    <t>Politólogo en busca de la verdad. #Orgullo</t>
  </si>
  <si>
    <t>manuel prieto</t>
  </si>
  <si>
    <t>Pablo Casado repite una vez más que su partido condena el franquismo, como ya ha hecho en cientos de ocasiones, incluida en sede parlamentaria. A preguntas de la Cadena Ser, el líder del PP afirma que "yo condeno a Franco.</t>
  </si>
  <si>
    <t>Madrid, Spanien</t>
  </si>
  <si>
    <t>Alles ist verbessertbar</t>
  </si>
  <si>
    <t>gsüs ℗ ƃǝ</t>
  </si>
  <si>
    <t>"Pablo Casado lleva cuatro meses, nadie le puede responsabilizar de las andaluzas"  el pelota lameculos @JuanMa_Moreno quitándole responsabilidad a su jefe del batacazo que el mismo cree que se va a dar, será para que no le degrade tras el hostión</t>
  </si>
  <si>
    <t>40° 13′ 00″N 06° 52′ 00″W</t>
  </si>
  <si>
    <t>La vida da muchas vueltas y en la última te mueres 💜</t>
  </si>
  <si>
    <t>Isabel Sanmartín</t>
  </si>
  <si>
    <t xml:space="preserve"> Entre Salamanca y C. Rodrigo</t>
  </si>
  <si>
    <t>Estudie en la Usal. Socialista y Republicana. Al andar se hace camino...</t>
  </si>
  <si>
    <t>http://encuadreslejanos.blogspot.com.es</t>
  </si>
  <si>
    <t>Joan Queralt</t>
  </si>
  <si>
    <t>Las mentiras de Pablo Casado sobre la renovación del Poder Judicial y el ‘wasap’ de Cosidó by @iescolar  via @iescolar. Es básico leerlo. Como siempre se pilla antes a un mentiroso que a unn cojo</t>
  </si>
  <si>
    <t>Barcelona, UE</t>
  </si>
  <si>
    <t>Jurista i publicista foto ©Adrià Costa</t>
  </si>
  <si>
    <t>Maria Jesus Pellejer</t>
  </si>
  <si>
    <t>El bueno de Sketchy.</t>
  </si>
  <si>
    <t>Me ha llegado la tarjeta censal. Ya tengo más títulos que Pablo Casado.</t>
  </si>
  <si>
    <t>Debajo del olivo, leré leré.</t>
  </si>
  <si>
    <t>Guionista y escritor A++. Por 3,13 € te ofrecezco un libro. Es de los de tocar y oler: 'La absurda muerte de Ventura'. Cuando cuente tres, despertarás.</t>
  </si>
  <si>
    <t>https://www.amazon.es/dp/1980784183/ref=cm_sw_r_cp_apa_i_o615Bb13RDDMZ</t>
  </si>
  <si>
    <t>#NoTTIP</t>
  </si>
  <si>
    <t>https://pbs.twimg.com/media/DsrGNLXWoAEgJ-j.png</t>
  </si>
  <si>
    <t>...nos han hecho creer que hacían algo por nosotros mientras saqueaban el país y se hacían más ricos y poderosos...</t>
  </si>
  <si>
    <t>Nino Cruz</t>
  </si>
  <si>
    <t>Si quitas el sonido a la tele, no te enteras de nada. RT no significa, necesariamente, coincidencia.</t>
  </si>
  <si>
    <t>http://mesademezclas.blogspot.com</t>
  </si>
  <si>
    <t>ALMERÍA HOY</t>
  </si>
  <si>
    <t>Día intenso de campaña de Pablo Casado en Almería, Cantoria, Macael y Fines</t>
  </si>
  <si>
    <t>http://www.almeriahoy.com/2018/11/dia-intenso-de-campana-de-pablo-casado.html</t>
  </si>
  <si>
    <t>Cuenta oficial del diario ALMERíA HOY, primer periódico independiente y liberal de la provincia.</t>
  </si>
  <si>
    <t>http://www.almeriahoy.com</t>
  </si>
  <si>
    <t>Francisco Cantero</t>
  </si>
  <si>
    <t>Máximo A. Hortet Día</t>
  </si>
  <si>
    <t>Blanco sobre negro, clarito, clarito. @pablocasado_ sigue con su tradicional politica de "miente q algo queda". OPINIÓN | Las mentiras de Pablo Casado sobre la renovación del Poder Judicial y el ‘wasap’ de Cosidó, por Ignacio Escolar  vía @iescolar</t>
  </si>
  <si>
    <t>ESPAÑA</t>
  </si>
  <si>
    <t>Miembro de %ATTAC y Red Renta Básica</t>
  </si>
  <si>
    <t>Cáceres</t>
  </si>
  <si>
    <t>http://flickr.com/photos/126163761@N02/</t>
  </si>
  <si>
    <t>ÆPasión por EspañaÆ</t>
  </si>
  <si>
    <t>#Moncloa #Corrupcion #Cerdocracia #Ineptocracia #España #españaesuna Moncloa_com: EXCLUSIVA en Moncloa_com / Jaime de los Santos, el tapado de pablocasado_ para Madrid DELOSSANTOSLEAL PPopular</t>
  </si>
  <si>
    <t>https://bit.ly/2R3Ilqn</t>
  </si>
  <si>
    <t>https://pbs.twimg.com/media/DsjFICzWoAEni7d.jpg</t>
  </si>
  <si>
    <t>https://twitter.com/iescolar/status/1065579098666344448
https://www.eldiario.es/politica/Pablo-Casado-exaltacion-franquismo-probidida_0_838516217.html</t>
  </si>
  <si>
    <t>Nacional-Sensacionalistas de extrema necesidad #EspañaEsUna #stopUE #stopOTAN #stopSionismo #stopGlobalizacion #stopInmigracion #stopIslam #stopFemimarxismo</t>
  </si>
  <si>
    <t>http://xn--pasionxespaa-khb.es</t>
  </si>
  <si>
    <t>Apechuske Pep Hero</t>
  </si>
  <si>
    <t>Si un mentiroso, hipócrita, vendido o corrupto te engaña una vez, no tienes la culpa. Si te engaña dos veces, la culpa es tuya.</t>
  </si>
  <si>
    <t>En @eldebatedehoy crece la familia de #podcast y me siguen dando la responsabilidad de conducirlos. Entramos en el terreno de la #Historia dialogando con Juan Pablo Fusi.</t>
  </si>
  <si>
    <t>https://www.ivoox.com/1-juan-pablo-fusi-su-historia-audios-mp3_rf_30262966_1.html</t>
  </si>
  <si>
    <t>RSS_Noticias</t>
  </si>
  <si>
    <t>Las mentiras de Pablo Casado sobre la renovación del Poder Judicial y el ‘wasap’ de Cosidó , en tendencia viral desde November 22, 2018 at 10:19PM</t>
  </si>
  <si>
    <t>http://bit.ly/2PLOVFq</t>
  </si>
  <si>
    <t>hola(@)josemanuelrodos.es</t>
  </si>
  <si>
    <t>Noticias más compartidas de medios españoles en tiempo real. Un proyecto de @josemanuelrodos en pruebas.</t>
  </si>
  <si>
    <t>Juan Checa</t>
  </si>
  <si>
    <t>welcome to the jungle!!!</t>
  </si>
  <si>
    <t>el azote de ls corru</t>
  </si>
  <si>
    <t>Miguel Castro Castro</t>
  </si>
  <si>
    <t>Juanma Moreno @Juanmamoreno177 (PP): @PPopular "Pablo Casado @pablocasado_ lleva cuatro meses, nadie le puede responsabilizar de las andaluzas" (pero a él sí)</t>
  </si>
  <si>
    <t>Política y Gobierno Nuevos talentos</t>
  </si>
  <si>
    <t>https://pbs.twimg.com/media/DsqncIFW0AACZHh.jpg</t>
  </si>
  <si>
    <t>LUGO</t>
  </si>
  <si>
    <t>Ex interventor en ruta de RENFE. Ex sindicalista U. G. T. De los que nuncan se callan. antes Vigo, Orense, Vigo ahora LUGO. #SemprePSOE</t>
  </si>
  <si>
    <t>Manuel Pérez</t>
  </si>
  <si>
    <t>De acá para allá</t>
  </si>
  <si>
    <t>Manchego (nací en #Tomelloso ). Racionalista. Anduve por el mundo y ya estoy de vuelta. Con algunas cosas, un poco mosca cojonera. #mientras_observo</t>
  </si>
  <si>
    <t>Mercedes dela Fuente</t>
  </si>
  <si>
    <t>Que lo escribió Pablo Casado? 7 Qué chorprecha 😂 #SebastiaoEnLaCafetera</t>
  </si>
  <si>
    <t>Albuñol, Granada</t>
  </si>
  <si>
    <t>Hasta 2008, enfermera pija en Hospital Puerta de Hierro, Madrid. Actualmente, cortijera y enfermera en Hospital Santa Ana, Motril</t>
  </si>
  <si>
    <t>http://cronicasdesdelacosta.blogspot.com/</t>
  </si>
  <si>
    <t>El PP dice que son un partido que mira al futuro 😂😂 ¿Los herederos directos de Aznar? ¡¡I M P O S I B L E ‼ Pablo Casado es un clon de Aznar. Demostración: 👇👇👇👇👇👇👇👇👇 #AznarIsComing</t>
  </si>
  <si>
    <t>pic.twitter.com/QBTn447Ne5</t>
  </si>
  <si>
    <t>Otro facha</t>
  </si>
  <si>
    <t>Ignacio Escolar</t>
  </si>
  <si>
    <t>EN EL BLOG | Las mentiras de Pablo Casado sobre la renovación del Poder Judicial y el ‘wasap’ de Cosidó</t>
  </si>
  <si>
    <t>Madrid // España</t>
  </si>
  <si>
    <t>Director de http://eldiario.es y analista político en La Sexta. ¿Quieres pasarme información? Puedes hacerlo desde aquí https://www.eldiario.es/pistas</t>
  </si>
  <si>
    <t>✍🏼 Las mentiras de Pablo Casado sobre la renovación del Poder Judicial y el ‘wasap’ de Cosidó  Un análisis de @iescolar</t>
  </si>
  <si>
    <t>https://pbs.twimg.com/media/Dsq-3Q0X4AE0kLF.jpg</t>
  </si>
  <si>
    <t>ESPAÑOL 🇪🇸 MADRIDISTA 🏆 Mourinho-zidanista; los principios de Mou, los métodos de Zizou.</t>
  </si>
  <si>
    <t>http://www.tabarnia.es</t>
  </si>
  <si>
    <t>RAFAEL LEAL SALAZAR</t>
  </si>
  <si>
    <t>🙋🏻‍♀🙋🏻‍♂¡Buenos días! El PP dice que son un partido que mira al futuro 😂😂¿Los herederos directos de Aznar? I M P O S I B L E ‼️ Pablo Casado es un clon de Aznar. Se lo demostramos con este vídeo #AznarIsComing 💪🏾</t>
  </si>
  <si>
    <t>pic.twitter.com/Oi585k6kZf</t>
  </si>
  <si>
    <t>Cambio16</t>
  </si>
  <si>
    <t>Alonso Vidal</t>
  </si>
  <si>
    <t>https://www.eljueves.es/news/universidad-rey-juan-carlos-contrata-como-profesor-a-pablo-casado_2968?utm_source=facebook&amp;utm_medium=social&amp;utm_campaign=trafico</t>
  </si>
  <si>
    <t>Professor de Matemática</t>
  </si>
  <si>
    <t>http://www.wix.com/alonsovidal/algeroz</t>
  </si>
  <si>
    <t>Cuenta oficial | Revista y Web Cambio16 | Noticias de actualidad y análisis sobre España y el mundo contadas con contundencia.</t>
  </si>
  <si>
    <t>http://www.cambio16.com</t>
  </si>
  <si>
    <t>Simbaad</t>
  </si>
  <si>
    <t>Pablo Casado dice que la exaltación del franquismo solo debería estar prohibida si es violenta, como la del comunismo del pueblo que solo quiere defenderse del Asesino y PPoderoso que mata a traición, en silencio y en connivencia con el PPoder #Putopaís</t>
  </si>
  <si>
    <t>https://www.eldiario.es/politica/Pablo-Casado-exaltacion-franquismo-probidida_0_838516217.html</t>
  </si>
  <si>
    <t>No, no soy diplomado, licenciado ni doctorado ni tengo master alguno que esconder. Aprendiz de aprendiz cometiendo errores. Ese soy yo, tal cual. Intentándolo</t>
  </si>
  <si>
    <t>figueroa maroñas</t>
  </si>
  <si>
    <t>Pablo Casado que NO QUIERE Entrar en el tema de Franco ya, Su Postura esta Aclarada y es Cierto, es un NeoFacistaliberal. Lo que Es Indignante es que Hable de Las Víctimas del Franquismo, con esa Prepotencia... #SebastiaoEnLaCafetera #FelizFinde</t>
  </si>
  <si>
    <t>https://twitter.com/p_marcote/status/1065270351335223298</t>
  </si>
  <si>
    <t>pic.twitter.com/3Vmym0HnUc</t>
  </si>
  <si>
    <t>Negreira, Galiza</t>
  </si>
  <si>
    <t>Mis Circustancias y Yo 🤔</t>
  </si>
  <si>
    <t>Javi Die</t>
  </si>
  <si>
    <t>Madrid (España)</t>
  </si>
  <si>
    <t>Cantante del Grupo de Rock SONOTONES. Hasta los güibons de casi to!</t>
  </si>
  <si>
    <t>Glr</t>
  </si>
  <si>
    <t>🙋🏻‍♀🙋🏻‍♂¡Buenos días! El PP dice que son un partido que mira al futuro 😂😂¿Los herederos directos de Aznar? I M P O S I B L E ‼ Pablo Casado es un clon de Aznar. #AznarIsComing</t>
  </si>
  <si>
    <t>pic.twitter.com/s3EFshS8Vt</t>
  </si>
  <si>
    <t>Un talento se forma en la calma; un carácter, en el torrente del mundo</t>
  </si>
  <si>
    <t>Gloria Elizo</t>
  </si>
  <si>
    <t>Al señor Casado se le ha olvidado lo que supuso la dictadura fascista para millones de españolas y españoles de este país. O no se le ha olvidado, que es lo peor. Esto no es condenar el franquismo, es reírse de todas las víctimas. Y de la democracia.</t>
  </si>
  <si>
    <t>https://m.eldiario.es/politica/Pablo-Casado-exaltacion-franquismo-probidida_0_838516217.html#click=https://t.co/Om5K1PsjOv</t>
  </si>
  <si>
    <t>`Nosotros pocos, nosotros pocos y felices, banda de hermanos` Madre. No todo es politica. O sí. Morada. Vice 4 Congreso de los Diputad@s.</t>
  </si>
  <si>
    <t>https://www.instagram.com/gloriaelizo/</t>
  </si>
  <si>
    <t>PSOE de Ceuta</t>
  </si>
  <si>
    <t>pic.twitter.com/EynultrFNS</t>
  </si>
  <si>
    <t>Ceuta, España</t>
  </si>
  <si>
    <t>http://ceuta.psoe.es</t>
  </si>
  <si>
    <t>Jose R. Molina</t>
  </si>
  <si>
    <t>SERÍA BUENO ENTENDER QUE PABLO CASADO PUEDE SER EL ÚLTIMO PRESIDENTE DEL PARTIDO POPULAR @pablocasado_ @MargalloJm @Santi_ABASCAL @vox_es @ppmadrid @VOXSevilla @eslatarde @EsperanzAguirre @libertaddigital #AndaluciaporEspaña #VotaVOX #SomosVOX #VOXGanaAndalucia RT @pablocasado_: Condeno todas las dictaduras sin excepción. España es un gran país que dio una lección en la Transición, debemos conservar su espíritu de concordia. @HoyPorHoy, @La_SER</t>
  </si>
  <si>
    <t>https://twitter.com/pablocasado_/status/1065549019861172225</t>
  </si>
  <si>
    <t>https://pbs.twimg.com/media/DsmXLiPWoAUra2Z.jpg</t>
  </si>
  <si>
    <t>Mluisa</t>
  </si>
  <si>
    <t xml:space="preserve">Madrid </t>
  </si>
  <si>
    <t>Doctor en Historia de la Educación UNED Licenciado en Ciencias de la Educación, Grado filología inglesa e hispánica, Historia del Arte y Magisterio</t>
  </si>
  <si>
    <t>p      ...</t>
  </si>
  <si>
    <t>NO HAY PAN PA TANTO CHORIZO</t>
  </si>
  <si>
    <t>Firmando Jetas / Jetas Firmando</t>
  </si>
  <si>
    <t>Este próximo domingo, en el FNAC de Callado, Pablo Casado dando una charla de su nuevo libro "Como convalidar el 80% de un máster" #jeta</t>
  </si>
  <si>
    <t>¡¡Avisos de las mejores firmas de documentos de los personajes públicos!! No te pierdas las mejores firmas. #Parodia #Humor #Freak</t>
  </si>
  <si>
    <t>cristina fernandez</t>
  </si>
  <si>
    <t>Tasmania, Australia</t>
  </si>
  <si>
    <t>Corazón morado,otro mundo es posible,pero se empeñan en decirnos lo contrario.Bienvenid@s,mi casa es tu casa</t>
  </si>
  <si>
    <t>ignacius</t>
  </si>
  <si>
    <t>Las andanadas de Pablo Casado contra los "carcas" de la izquierda y "las fosas de no sé quién"</t>
  </si>
  <si>
    <t>https://www.elperiodico.com/es/politica/20150619/pablo-casado-carcas-fosas-guerra-abuelo-comunicacion-cambios-partido-popular-4288555</t>
  </si>
  <si>
    <t>soy de burgos me interesa temas sociales , accidentes trabajo y sus consecuencias.ectra.</t>
  </si>
  <si>
    <t>Matilde M Castillo</t>
  </si>
  <si>
    <t>S.S.de los Reyes(Madrid)</t>
  </si>
  <si>
    <t>Enfermera de la Sanidad Publica. Granadina de nacimiento y Soriana de adopción. Cansada de injusticias. Cansada de corruptos</t>
  </si>
  <si>
    <t>Kelsen</t>
  </si>
  <si>
    <t>Parece que las últimas declaraciones de Pablo Casado las ha hecho en su cuenta “b” ⤵️⤵️⤵️ RT @SoldadaDeCrist: Los ateos/satánicos ignorantes insisten en que venimos de un "Big Bang" (gran explosión) a pesar de que la polvora se inventó en el Siglo IX y la dinamita en el Siglo XIX. ¿Como es posible entonces que hubiera explosiones en el Siglo 0 eh? EDUQUENSE ANTES DE OPINAR</t>
  </si>
  <si>
    <t>https://twitter.com/soldadadecrist/status/980165760667459584</t>
  </si>
  <si>
    <t>Sarrià, Barcelona(tb. Moianès)</t>
  </si>
  <si>
    <t>Iuspostivista pro #TotsSomBarcelona #TardorCalenta 🇩🇪🇫🇮 🏴󠁧󠁢󠁳󠁣󠁴󠁿 🇧🇪 🇨🇭🎗✌️ (retuit no significa adhesión. Puede ser denuncia)</t>
  </si>
  <si>
    <t>Manu</t>
  </si>
  <si>
    <t>Sólo hay un bien: el conocimiento. Sólo hay un mal: la ignorancia. Sócrates</t>
  </si>
  <si>
    <t>miguel angel cano</t>
  </si>
  <si>
    <t>OPINIÓN | Las mentiras de Pablo Casado sobre la renovación del Poder Judicial y el ‘wasap’ de Cosidó, por Ignacio Escolar  vía @iescolar. Al PP nunca la interesado la justicia, solo le interesa el poder, en todas las instituciones</t>
  </si>
  <si>
    <t>Paco Morote</t>
  </si>
  <si>
    <t>Murcia</t>
  </si>
  <si>
    <t>http://www.facebook.com/pako.morote</t>
  </si>
  <si>
    <t>Julio Comendador</t>
  </si>
  <si>
    <t>Como PSOE y Podemos suman más escaños que el PP, y sin Marchena de Presidente del mangoneo del reparto de jueces, Pablo Casado trata ahora de desmarcarse. Por puro tacticismo. Tuvo la oportunidad de abordar la independencia judicial, pero optó por justificar lo injustificable👇🏻</t>
  </si>
  <si>
    <t>https://pbs.twimg.com/media/Dsq6pZ_XQAAgYrV.jpg</t>
  </si>
  <si>
    <t>Toledo</t>
  </si>
  <si>
    <t>Ingeniero para la Administración Pública. Investigador y Profesor de postgrado. Portavoz de @Cs_Toledo | El mundo cambia con el ejemplo, no con las opiniones.</t>
  </si>
  <si>
    <t>https://es.linkedin.com/in/julio-comendador-97657976</t>
  </si>
  <si>
    <t>Manuel Aguilar 🎗</t>
  </si>
  <si>
    <t>Pelícano manchú</t>
  </si>
  <si>
    <t>Si estás de acuerdo con lo que dice este "ser" o le ves cierto sentido, no quiero que me sigas.  vía @eldiarioes</t>
  </si>
  <si>
    <t xml:space="preserve">Zaragoza o alrededores. </t>
  </si>
  <si>
    <t>Llevo a la playa mi propia arena. Emocionantemente previsible. Contacto: mortimer.fu@gmail.com</t>
  </si>
  <si>
    <t>https://www.facebook.com/Mortimer.Fu/</t>
  </si>
  <si>
    <t>ROQUETERO</t>
  </si>
  <si>
    <t>UN PRESIDENTE CAPAZ DE COMPARAR EL COMPORTAMIENTO DE PABLO CASADO CON EL INDESEABLE RUFIÁN. NO ES DIGNO DE GOBERNAR ESPAÑA Y NO SOY PEPERO. CADA DÍA MÁS CLARO SANCHEZ TRAIDOR.</t>
  </si>
  <si>
    <t>https://twitter.com/grancocolio/status/1065554179303849984</t>
  </si>
  <si>
    <t>Roquetas de Mar,Almeria.España</t>
  </si>
  <si>
    <t>Vitoria-Gasteiz, España</t>
  </si>
  <si>
    <t>Rosa María Artal💜</t>
  </si>
  <si>
    <t>Cómo estarán las cabezas en cierta derecha para que haya que explicarlo -- OPINIÓN | Las mentiras de Pablo Casado sobre la renovación del Poder Judicial y el ‘wasap’ de Cosidó, por Ignacio Escolar  vía @iescolar</t>
  </si>
  <si>
    <t>Periodista, escritora, europea, inconformista, tenaz, ciudadana del siglo XXI. Coordinadora de Reacciona. Columnista de http://eldiario.es</t>
  </si>
  <si>
    <t>http://rosamariaartal.wordpress.com/</t>
  </si>
  <si>
    <t>yo NO lo dije</t>
  </si>
  <si>
    <t>Soy tu incógnita estimado curioso y mi única pretensión es no defraudarte cuando me visites, con la sola idea de que te queden ganas de volver a hacerlo.</t>
  </si>
  <si>
    <t>https://yonolodije.wordpress.com/</t>
  </si>
  <si>
    <t>Andres Fernandez</t>
  </si>
  <si>
    <t>Mira y aprende algo de las tonterías y chiquilladas que dice este niño con un título de Máster que dice que tiene y que sus palabras me hacen pensar que ni máster ni nada fantasías callejeras que le ha contado alguien</t>
  </si>
  <si>
    <t>https://m.eldiario.es/politica/Pablo-Casado-exaltacion-franquismo-probidida_0_838516217.html#click=https://t.co/G5h19WJE0Y</t>
  </si>
  <si>
    <t>Lola Pastur</t>
  </si>
  <si>
    <t>ENTREVISTA | Juanma Moreno (PP): "Pablo Casado lleva cuatro meses, nadie le puede responsabilizar de las andaluzas"  vía @eldiarioand</t>
  </si>
  <si>
    <t>https://m.eldiario.es/_31fac11c</t>
  </si>
  <si>
    <t>No entiendo el mundo, pero tengo la suerte de entenderme a mi misma.</t>
  </si>
  <si>
    <t>eldiarioAnd</t>
  </si>
  <si>
    <t>ENTREVISTA | @JuanMa_Moreno @ppandaluz: "Pablo Casado lleva cuatro meses, nadie le puede responsabilizar de las andaluzas"  Por @DaniCela8</t>
  </si>
  <si>
    <t>http://ow.ly/GTcP30mIE6K</t>
  </si>
  <si>
    <t>https://pbs.twimg.com/media/Dsq3wTPXcAAxUXR.jpg</t>
  </si>
  <si>
    <t>Diario de información política, económica y social sobre Andalucía y desde Andalucía. Nos gusta ver las cosas desde el sur. De la mano de eldiarioes</t>
  </si>
  <si>
    <t>http://www.eldiario.es/andalucia/</t>
  </si>
  <si>
    <t>Pedro M. Otero</t>
  </si>
  <si>
    <t>S.Vte.del Raspeig Alicante</t>
  </si>
  <si>
    <t>Ateo, de Izquierdas, Progresista, defensor de los derechos Humanos y de los Animales, lucho contra las Injusticias, Republicano.</t>
  </si>
  <si>
    <t>Floren</t>
  </si>
  <si>
    <t>La biografía... jmm. Perdonen un momento, aún se está haciendo-</t>
  </si>
  <si>
    <t>http://ecosdelalogica.blogspot.com.es/</t>
  </si>
  <si>
    <t>Lluís Filella</t>
  </si>
  <si>
    <t>Pablo Casado "rechaza" el Whatsapp sobre los jueces y cree que no lo escribió Cosidó</t>
  </si>
  <si>
    <t>https://www.huffingtonpost.es/2018/11/22/pablo-casado-rechaza-el-whatsapp-sobre-los-jueces-y-cree-que-no-lo-escribio-cosido_a_23596700/?ncid=other_twitter_cooo9wqtham&amp;utm_campaign=share_twitter</t>
  </si>
  <si>
    <t>BARCELONA</t>
  </si>
  <si>
    <t>Mestre jubilat d'escola pública. Ex-delegat de CCOO educació.</t>
  </si>
  <si>
    <t>http://conc.ccoo.cat/ensenyament/</t>
  </si>
  <si>
    <t>Francisco Castro</t>
  </si>
  <si>
    <t>Que dice Pablo Casado que el wasapp no lo escribió Cosidó, que fue uno de los enanitos de Blancanieves, que es un maldito independentista y comunista y de Podemos.</t>
  </si>
  <si>
    <t>Vigo</t>
  </si>
  <si>
    <t>Director Xeral de Editorial Galaxia. Escritor.</t>
  </si>
  <si>
    <t>http://www.franciscocastro.gal</t>
  </si>
  <si>
    <t>Josep Jover</t>
  </si>
  <si>
    <t>Abogado, auditor y Gestor de conflictos. Mis tuits puede sacarse de contexto. Prohibidos citarlos sin reproducir también los 25 anteriores y los 25 siguientes.</t>
  </si>
  <si>
    <t>http://www.advertia.net</t>
  </si>
  <si>
    <t>Lucrecia Hevia B</t>
  </si>
  <si>
    <t>Hoy @DaniCela8 ENTREVISTA a @JuanMa_Moreno (PP): "Pablo Casado lleva cuatro meses, nadie le puede responsabilizar de las andaluzas" - #2d</t>
  </si>
  <si>
    <t>https://m.eldiario.es/31fac11c_838517020/</t>
  </si>
  <si>
    <t>Periodista (siempre en formación. Es lo que tiene ser lenta). Un pasito para adelante para dirigir http://eldiario.es/andalucia @eldiarioAnd</t>
  </si>
  <si>
    <t>http://lalavadoraonline.blogspot.com</t>
  </si>
  <si>
    <t>Javier Uribe</t>
  </si>
  <si>
    <t>Las mentiras de Pablo Casado sobre la renovación del Poder Judicial y el ‘wasap’ de Cosidó, por Ignacio Escolar  via @iescolar</t>
  </si>
  <si>
    <t>Fernando Torres</t>
  </si>
  <si>
    <t>Rubén Hood - DESMONTANDO a PABLO CASADO en 6 pasos</t>
  </si>
  <si>
    <t>https://www.youtube.com/attribution_link?a=WtFOOgg6v7E&amp;u=%2Fwatch%3Fv%3DjybqW6AZOQ0%26feature%3Dshare</t>
  </si>
  <si>
    <t>Me ha gustado un vídeo de @YouTube ( - Rubén Hood - DESMONTANDO a PABLO CASADO en 6 pasos).</t>
  </si>
  <si>
    <t>http://youtu.be/jybqW6AZOQ0?a</t>
  </si>
  <si>
    <t>https://pbs.twimg.com/media/DsmoH7RXgAEJ3Hv.jpg</t>
  </si>
  <si>
    <t>cecilio nieto</t>
  </si>
  <si>
    <t>Doctor y catedrático de Filosofía. Ya felizmente jubilado</t>
  </si>
  <si>
    <t>http://cecilionieto.blogspot.com.es/</t>
  </si>
  <si>
    <t>DMKny</t>
  </si>
  <si>
    <t>Las mentiras de Pablo Casado sobre la renovación del Poder Judicial y el ‘wasap’ de Cosidó, por @iescolar.</t>
  </si>
  <si>
    <t>No hay II sin III</t>
  </si>
  <si>
    <t>Fernando Vicente</t>
  </si>
  <si>
    <t>🎗💙 aborigen #JuntasMásFuertes 💙🎗</t>
  </si>
  <si>
    <t>Periodista.</t>
  </si>
  <si>
    <t>http://eldiario.es/andalucia</t>
  </si>
  <si>
    <t xml:space="preserve">Infierno </t>
  </si>
  <si>
    <t>A veces puedo caerte bien. Y a veces puedo caerte mal. Nunca seré tu amigo 😒 Canario Cómo El 🍌 🍌🍌 Construyendo El Camino De Mi Princesa 👸 Voto Podemos ☐</t>
  </si>
  <si>
    <t>UGT-Sellbytel BCN</t>
  </si>
  <si>
    <t>http://seccionsindicalugt-sellbytel.blogspot.com.es</t>
  </si>
  <si>
    <t>Cristina ©️</t>
  </si>
  <si>
    <t>Las mentiras de Pablo Casado sobre la renovación del Poder Judicial y el ‘wasap’ de Cosidó.  vía @iescolar #FelizFinde</t>
  </si>
  <si>
    <t>Costa da Morte</t>
  </si>
  <si>
    <t>Nací en #Euskadi y vivo en #Galicia. "Un gran poder conlleva una gran responsabilidad" Roosevelt. Comunicación y análisis político. Ethos, Logos, Pathos.</t>
  </si>
  <si>
    <t>Julián</t>
  </si>
  <si>
    <t>ajoyagua ♻️🕊♻️</t>
  </si>
  <si>
    <t>Siles, España</t>
  </si>
  <si>
    <t>Portavoz PSOE A, Ayuntamiento de Siles (Jaén). Munca dejes de creer</t>
  </si>
  <si>
    <t>Dame un libro y me olvidaré del mundo. Dame tu idioma, toma el mío, y derribaremos murallas, construiremos puentes. Ohito: aqí ç'eccribe tamié n'andalûh.</t>
  </si>
  <si>
    <t>Pablo Casado ordena a sus diputad@s y senad@res NO condenar el franquismo. Por lo tanto, no ve nada condenable en una dictadura que torturó, asesinó e hizo desparecer en cunetas a miles de español@s. Sólo será presidente si hay miles que piensan como él. Esa es la clave.</t>
  </si>
  <si>
    <t>SiNoQuieresQueSeSepa</t>
  </si>
  <si>
    <t>La violencia ya es ilegal, venga de donde venga, así que lo que reclama Pablo Casado es que la exaltación del franquismo sea legal, pese al dictamen en contra del Parlamento Europeo que insta a ilegalizar todo tipo de organizaciones de ultraderecha.</t>
  </si>
  <si>
    <t>https://m.eldiario.es/politica/Pablo-Casado-exaltacion-franquismo-probidida_0_838516217.html#click=https://t.co/uS5c8s8E3V</t>
  </si>
  <si>
    <t>Si No Quieres Que Se Sepa No Lo Hagas.</t>
  </si>
  <si>
    <t>La violencia ya es ilegal, venga de donde venga, así que lo que reclama Pablo Casado es que la exaltación del franquismo sea legal, pese al dictamen en contra del Parlamento Europeo que insta a ilegalizar todo tipo de organizaciones de ultraderecha,...</t>
  </si>
  <si>
    <t>Plvs Vltra</t>
  </si>
  <si>
    <t>#YoSoyFranquista #ElValleNoSeToca #FrancoSeQueda #ParacuellosNoSeToca #JuicioAlPSOE Pablo Casado: “yo condeno a Franco, nos abstuvimos en el Senado de sumarnos a la propuesta de los socialistas y sus apoyos porque no se pedía condenar lo que pasó,sino que buscaba otros objetivos.</t>
  </si>
  <si>
    <t>Católico y español, en este orden. Sin más etiquetas.</t>
  </si>
  <si>
    <t>Joan Comorera</t>
  </si>
  <si>
    <t>Las mentiras de Pablo Casado sobre la renovación del Poder Judicial y el ‘wasap’ de Cosidó, por Ignacio Escolar.  vía @iescolar</t>
  </si>
  <si>
    <t xml:space="preserve">Barcelona </t>
  </si>
  <si>
    <t>Juan</t>
  </si>
  <si>
    <t>Senador de En Comu Podem por Barcelona. Abogado especializado en propiedad intelectual e industrial y penalista. #T. Todavía creo que un mundo mejor es posible.</t>
  </si>
  <si>
    <t>http://jcomorera.blogspot.com.es/</t>
  </si>
  <si>
    <t>Maximino Alvarez</t>
  </si>
  <si>
    <t>Por Ignacio Escolar Un repaso a las dudosas explicaciones del presidente del PP durante la entrevista que dio este jueves a Pepa Bueno en la Cadena SER El PP ha roto el acuerdo con el PSOE...</t>
  </si>
  <si>
    <t>Asturias España</t>
  </si>
  <si>
    <t>Un tevergano de un pueblín perdido entre las montañas astures, en busca de un mundo más justo.</t>
  </si>
  <si>
    <t>Ana María Crespo</t>
  </si>
  <si>
    <t>MaZ Republicà 🎗️✊</t>
  </si>
  <si>
    <t>El problema no es Pablo Casado, que asegura que la exaltación del franquismo solo debería prohibirse si es violenta, como la del comunismo, el problema es la gente que le votará! #PP #FemXarxa #fachas  vía @eldiarioes</t>
  </si>
  <si>
    <t>St Esteve de les Roures de Mar</t>
  </si>
  <si>
    <t>Català i Republicà. No tinc res en contra d'Espanya, però sí del feixisme, monarquia i la tauromàquia. #LlibertatPresosPolítics #FreeCatalanPoliticalPrisoners</t>
  </si>
  <si>
    <t>Mikel Arteaga</t>
  </si>
  <si>
    <t>Pablo Casado "Cambio16 fue una cabecera imprescindible en la Transición a la hora de conquistar una democracia consolidada"</t>
  </si>
  <si>
    <t>http://ow.ly/isnj30mItpj</t>
  </si>
  <si>
    <t>https://pbs.twimg.com/media/DsoWa1gW0AI4eU8.jpg</t>
  </si>
  <si>
    <t>Pollosincabeza</t>
  </si>
  <si>
    <t>Las mentiras de Pablo Casado sobre la renovación del Poder Judicial y el ‘wasap’ de Cosidó  vía iescolar</t>
  </si>
  <si>
    <t>https://ift.tt/2DTTk2T</t>
  </si>
  <si>
    <t>Jacobo Ramos</t>
  </si>
  <si>
    <t>Blog de información y opinión. Interesados y preocupados por la deriva de nuestro mundo política y socialmente. Un análisis en profundidad de la actualidad.</t>
  </si>
  <si>
    <t>http://pollo-sincabeza.blogspot.com/</t>
  </si>
  <si>
    <t>Pablo Casado dice que la exaltación del franquismo solo debería estar prohibida si es violenta, como la del comunismo  vía @eldiarioes NO DIRIA ESTO SI SU BANDA LO ESTUVIERA. EXISTEN PRUEBAS DE CRIMEN Y SAQUEO QUE LO JUSTIFICAN.</t>
  </si>
  <si>
    <t>◾Community manager, asesor de protocolo, amante de la historia, escritor, dibujante y persona. CEP. PP de Granada 🅿️🅿️💚.</t>
  </si>
  <si>
    <t>https://www.facebook.com/JRTextos/</t>
  </si>
  <si>
    <t>Al igual que nos roban por ley, nos han hecho politicos a la fuerza.</t>
  </si>
  <si>
    <t>Simplicius</t>
  </si>
  <si>
    <t>Como nuestros mayores no hicieron bien su trabajo en su momento ahora llegan estos atontados pre-milenials a querer dar lecciones comparativas de mierda. Cosas de decir que estudiaste en Harvard...  vía @eldiarioes</t>
  </si>
  <si>
    <t>De Iberia, como el lobo.</t>
  </si>
  <si>
    <t>Persecutor persecuted ~ Cuenta en B ~ No, no olvido; ni perdono.</t>
  </si>
  <si>
    <t>Javier Marcos Angulo</t>
  </si>
  <si>
    <t>Aprendiz de la vida, busco la verdad.</t>
  </si>
  <si>
    <t>http://javiermarcosangulo.blogspot.com.es</t>
  </si>
  <si>
    <t>Azuloscuro</t>
  </si>
  <si>
    <t>No cabe duda de que és un franquista 👇👇 Pablo Casado dice que la exaltación del franquismo solo debería estar prohibida si es violenta, como la del comunismo  vía @eldiarioes</t>
  </si>
  <si>
    <t>No te interesa...</t>
  </si>
  <si>
    <t>Así es Valladolid</t>
  </si>
  <si>
    <t>Fernández Mañueco llama a los 'populares' a "llevar en volandas a Pablo Casado a La Moncloa"</t>
  </si>
  <si>
    <t>http://dlvr.it/QrvYSs</t>
  </si>
  <si>
    <t>https://pbs.twimg.com/media/Dsqes2xU4AAG6Em.jpg</t>
  </si>
  <si>
    <t>Valladolid</t>
  </si>
  <si>
    <t>Fotos, noticias y más de Valladolid (Castilla y León -Spain-)</t>
  </si>
  <si>
    <t>Diego Ferreira Orue</t>
  </si>
  <si>
    <t>Pablo Casado ratifica al ex ministro Rafael Catalá tras el fiasco del CGPJ  #googlealerts</t>
  </si>
  <si>
    <t>https://www.elmundo.es/espana/2018/11/22/5bf5c490e5fdeade018b45ea.html</t>
  </si>
  <si>
    <t>Asuncion, Paraguay</t>
  </si>
  <si>
    <t>Emprendedor Curioso | Growth Hacker | Inboud Marketing | Social Media Manager | IT Manager | PNL Practitioner| PNL Master | I+D</t>
  </si>
  <si>
    <t>http://Www.cloudparaguay.app</t>
  </si>
  <si>
    <t>merry Yamachristmas</t>
  </si>
  <si>
    <t>Resacón en Las Vegas pero los protagonistas son Albert Rivera, Pablo Casado, Santiago Abascal y Rosa Díez.</t>
  </si>
  <si>
    <t>新生 white knight</t>
  </si>
  <si>
    <t>[ESP/ENG] \\ Los débiles se dejan llevar por las olas del destino; los fuertes, se las beben. // NU PIDZEC || Diseño Gráfico.</t>
  </si>
  <si>
    <t>http://politiquetaizquierdista.com</t>
  </si>
  <si>
    <t>Dover DE</t>
  </si>
  <si>
    <t>Las irregularidades que han llevado a la investigación judicial del máster de Pablo Casado: El político del PP superó su máster en derecho autonómico con convalidaciones múltiples en el Instituto de Derecho Público de la Rey Juan Carlos, el mismo curso e…</t>
  </si>
  <si>
    <t>http://dlvr.it/QrvXhb</t>
  </si>
  <si>
    <t>https://pbs.twimg.com/media/Dsqc45OVsAAM_9k.jpg</t>
  </si>
  <si>
    <t>Dover, DE</t>
  </si>
  <si>
    <t>Credit Repair in Dover Delaware 19901 call (888) 502-1260 https://www.facebook.com/Credit-Repair-in-Delaware-1469101476453309/ https://es-la.facebook.com/Credit-Repair-in-Delaware-1469101476453309/ https://m.facebook.com/Credit-Repair-in-Delaware-1469101476453309/</t>
  </si>
  <si>
    <t>https://www.facebook.com/Credit-Repair-in-Delaware-1469101476453309/</t>
  </si>
  <si>
    <t>El presidente del PP ha defendido que cualquier organización que reivindique actos bélicos y violentos tiene que ser ilegalizada "como hacen Arran y la CUP"</t>
  </si>
  <si>
    <t>http://bit.ly/2FABK5z</t>
  </si>
  <si>
    <t>juan miguel</t>
  </si>
  <si>
    <t>Las equiparaciones de Pablo Casado demuestran su ignorancia del pasado y de la actualidad RT @elperiodico: Pablo Casado: "Antes marcaban con estrellas amarillas, ahora con lazos"</t>
  </si>
  <si>
    <t>Sacerdote Español en Santiago de Cali</t>
  </si>
  <si>
    <t>Elvira Garzón</t>
  </si>
  <si>
    <t>ÜT: 37.095202,-3.397344</t>
  </si>
  <si>
    <t>Julián Hernández</t>
  </si>
  <si>
    <t>Mmm... Los ejércitos viejunos españoles se contaban por "tercios". O eso aparece hasta en la sopa. No había "enteros" pues. Y los enteros serían litronas, claro. O sea, que andaban de botellón por Flandes y por ahí. QUE PABLO CASADO ACLARE ESTO.</t>
  </si>
  <si>
    <t>Galicia</t>
  </si>
  <si>
    <t>En Siniestro Total desde 1981. En Internet desde 1996. En Twitter desde 2012. En Facebook desde 2014.</t>
  </si>
  <si>
    <t>http://www.siniestro.com</t>
  </si>
  <si>
    <t>Medellín, Colombia</t>
  </si>
  <si>
    <t>Pablo Casado, nuevo presidente del Comité Electoral del PP de Madrid  El diputado Alfonso Serrano será el próximo número tres del Partido Popular de la región copyright © 2018 November 22, 2018 at 06:24PM</t>
  </si>
  <si>
    <t>https://ift.tt/2qZUFgd</t>
  </si>
  <si>
    <t>Abogados en barrio Bomboná Nº 1, Medellin, Antioquia llama 320 542-9469 http://abogadosmedellin.mobi/aranjuez-medellin-abogados.html http://abogadosmedellin.mobi/aranjuez-medellin-abogados-de-familia http://abogadosmedellin.mobi/aranjuez-medellin-abogados-comercial</t>
  </si>
  <si>
    <t>http://abogadosmedellin.mobi/aranjuez-medellin-abogados-civil</t>
  </si>
  <si>
    <t>Temblad, malditos. Temblad, placas tectónicas. Tiembla, Pablo Casado. RT @openculture: Introducing the Librarian Action Figure: The Caped Crusader Who Fights Against Anti-Intellectualism, Ignorance &amp; Censorship Everywhere</t>
  </si>
  <si>
    <t>https://twitter.com/openculture/status/1065782233280258048
http://www.openculture.com/?p=1046708</t>
  </si>
  <si>
    <t>https://pbs.twimg.com/media/DsplLf5V4AASj3l.jpg</t>
  </si>
  <si>
    <t>A Coruña, Galicia</t>
  </si>
  <si>
    <t>Pilar Balado</t>
  </si>
  <si>
    <t>A la izquierda les gusta los dictadores comunistas. Y eso son buenos????? Cinico es poco . mala gente y y duro con pedro. Pablo Casado denuncia el «cinismo» de Sánchez porque «hoy visita a un dictador vivo» y Franco «está muerto»</t>
  </si>
  <si>
    <t>https://www.elnortedecastilla.es/nacional/casado-denuncia-cinismo-20181122120422-ntrc.html</t>
  </si>
  <si>
    <t>me gusta la musica ,lascosas bonitas cuadros fotos pinturas el MAR lo adoro ,los perros maravillosos ,la cosmetica la naturaleza .la vida y la salud</t>
  </si>
  <si>
    <t>ROBIN HOOD * * *</t>
  </si>
  <si>
    <t>https://diario6.com/pablo-casado-el-hombre-que-cobra-1-842-euros-en-dietas-por-ser-diputado-por-avila-pero-que-vive-y-vota-en-madrid/#.W_dIqlMuOYQ.twitter</t>
  </si>
  <si>
    <t>McGuinness. (9-9)</t>
  </si>
  <si>
    <t>Lloro xd Pablo Casado el que tengo aquí colgado.</t>
  </si>
  <si>
    <t>https://pbs.twimg.com/media/DspYyT0UUAAA7Wm.jpg</t>
  </si>
  <si>
    <t>Celtics fan since May, 2013. ☘️</t>
  </si>
  <si>
    <t>Acaymo Franchy</t>
  </si>
  <si>
    <t>Una opción que no he visto sobre la mesa es que fuera Pablo Casado el que escribió el mensaje que reenvió Cosidó.</t>
  </si>
  <si>
    <t>Volvamos a desaprender</t>
  </si>
  <si>
    <t>Frederic Monell</t>
  </si>
  <si>
    <t>Pablo Casado dice que la exaltación del franquismo solo debería estar prohibida si es violenta, como la del comunismo  vía @eldiarioes eso solo lo puede decir alguien que siente muy próximo al franquismo</t>
  </si>
  <si>
    <t>Algerri Lugo Barcelona Madrid</t>
  </si>
  <si>
    <t>sindicalisme, futbol, política i de la vida en general. #Ahoranostoca</t>
  </si>
  <si>
    <t>magazine340.es</t>
  </si>
  <si>
    <t>Magazine340 - politica - Pablo Casado insiste en pactar con C's aunque el PP no sea el más votado</t>
  </si>
  <si>
    <t>http://magazine340.es/ficha/2984/pablo-casado-insiste-en-pactar-con-c-s-aunque-el-pp-no-sea-el-mas-votado#.W_dFv60vMKg.twitter</t>
  </si>
  <si>
    <t>tu revista digital</t>
  </si>
  <si>
    <t>http://magazine340.es/</t>
  </si>
  <si>
    <t>Miguel Angel Batista</t>
  </si>
  <si>
    <t>A @pablocasado_ se le ha notado tenso en @La_SER esta mañana</t>
  </si>
  <si>
    <t>Cro Cop</t>
  </si>
  <si>
    <t>Lo de Pablo Casado de "condenar" el fascismo, pero apoyar a la oposición venezolana en la misma entrevista es un oxímoron como un camión.</t>
  </si>
  <si>
    <t>https://pbs.twimg.com/media/DsofivBX4AAbQxk.jpg</t>
  </si>
  <si>
    <t>Santa Cruz de Tenerife, Islas</t>
  </si>
  <si>
    <t>Informático. Socialista. Polémico. Secretario de Social Media y Contenidos Digitales de @PSOESantaCruzTF</t>
  </si>
  <si>
    <t>5º Regimiento (Acero).</t>
  </si>
  <si>
    <t>Mar Doña✌🏼✊🏼</t>
  </si>
  <si>
    <t>Las mentiras de Pablo Casado sobre la renovación del Poder Judicial y el ‘wasap’ de Cosidó', por Ignacio Escolar  vía @iescolar</t>
  </si>
  <si>
    <t xml:space="preserve">Zaragoza </t>
  </si>
  <si>
    <t>“Mucha gente pequeña en lugares pequeños, haciendo cosas pequeñas pueden cambiar el mundo” ¡Claro que PODEMOS! Debate con respeto. Al primer insulto bloqueo.</t>
  </si>
  <si>
    <t>Rafa Espinosa</t>
  </si>
  <si>
    <t>- ¿Pablo Casado?.. ¡Ah, sí!, ese joven que está siempre hablando de Colón y del descubrimiento de América y que cuando le preguntan por el franquismo dice que no quiere hablar del pasado</t>
  </si>
  <si>
    <t>Terrassa, Catalunya, España</t>
  </si>
  <si>
    <t>Un barrendero inquieto enamorado de la historia. Casteller de camisa malva minyona fidel a les seves múltiples arrels: obrer i català sense cap cognom català.</t>
  </si>
  <si>
    <t>Makarovito</t>
  </si>
  <si>
    <t>El pasatiempo de empezar una frase con "Pablo Casado dice" y que lo demás lo complete el teclado predictivo. RT @eldiarioes: Pablo Casado dice que la exaltación del franquismo solo debería estar prohibida si es violenta, como la del comunismo</t>
  </si>
  <si>
    <t>Granada</t>
  </si>
  <si>
    <t>lejos de Rosalía</t>
  </si>
  <si>
    <t>llevo gafas, amos a pegarnos</t>
  </si>
  <si>
    <t>574 y 582 nm._Colze a colze</t>
  </si>
  <si>
    <t>Cuidado UK tiene el submarino Tireless, pero España tenemos a Pablo Casado Titleless RT @salvadorcardus: May advierte a España: “Protegeremos la soberanía británica de Gibraltar”</t>
  </si>
  <si>
    <t>https://twitter.com/salvadorcardus/status/1065731536820084737
http://shr.gs/OBRsaib</t>
  </si>
  <si>
    <t>Icària</t>
  </si>
  <si>
    <t>elisadocio</t>
  </si>
  <si>
    <t>Palencia. España</t>
  </si>
  <si>
    <t>http://www.elisadocio.com</t>
  </si>
  <si>
    <t>Pepito Grillo</t>
  </si>
  <si>
    <t>Lo importante no es que te sigan, sino la huella que dejaste.</t>
  </si>
  <si>
    <t>Sigue estando claro de que lado hay que estar. RT @partidazocope: 🎙 Mourinho a @Record_Portugal sobre Iker Casillas: 💥 “Sus palabras son propias de alguien en el final de su carrera” 💥 ”Cuando dice que nunca se enfrentó a mí, no es verdad. Se enfrentó a mí, y de un modo que se le da mejor que a nadie: escondido"</t>
  </si>
  <si>
    <t>https://twitter.com/partidazocope/status/1065730464848203777</t>
  </si>
  <si>
    <t>https://pbs.twimg.com/media/Dso8NL8VsAACmH0.jpg</t>
  </si>
  <si>
    <t>Va a molar, pero echaremos mucho de menos a Constantino Romero poniendo voz a Mufasa RT @DisneyStudios: July 19, 2019. #TheLionKing</t>
  </si>
  <si>
    <t>https://twitter.com/DisneyStudios/status/1065734931970551808</t>
  </si>
  <si>
    <t>https://pbs.twimg.com/media/DsoxLdfV4AAMkZL.jpg</t>
  </si>
  <si>
    <t>Abuelo Bala</t>
  </si>
  <si>
    <t>Para Pablo Casado, un día sin decir una estupidez es un día perdido.</t>
  </si>
  <si>
    <t>Dejemos de creer en la autoridad y empecemos a creer los unos en los otros.</t>
  </si>
  <si>
    <t>DE VALLEKAS</t>
  </si>
  <si>
    <t>Carmendelia Ferrer.</t>
  </si>
  <si>
    <t>La América violada: las violencias contra las mujeres en la conquista y la colonización  Cuando Pablo Casado dijo que «la hispanidad fue la etapa más brillante de la humanidad» no había leído este reportaje</t>
  </si>
  <si>
    <t>https://www.elperiodico.com/es/mas-periodico/20181110/america-violada-violencias-contra-mujeres-conquista-colonizacion-7137661?utm_source=twitter&amp;utm_medium=social</t>
  </si>
  <si>
    <t>Barcelona España</t>
  </si>
  <si>
    <t>Locutora, productora, guía de turismo, comunicóloga y experta cocinera. No llevo etiquetas de Izquierda o Derecha, pero siempre estoy con el más débil.</t>
  </si>
  <si>
    <t>http://Facebook.com/Carmendelia.Ferrer</t>
  </si>
  <si>
    <t>Justo</t>
  </si>
  <si>
    <t>Se arrastran como culebras para no perder el favor del "zeñorito" ¿no recuerdan Los Santos Inocentes? Pues eso. ENTREVISTA | Juanma Moreno (PP): "Pablo Casado lleva cuatro meses, nadie le puede responsabilizar de las andaluzas"  vía @eldiarioand</t>
  </si>
  <si>
    <t>Islas Canarias, España</t>
  </si>
  <si>
    <t>España Una, Grande y Libre... pero con Podemos en el Gobierno, por favor.</t>
  </si>
  <si>
    <t>https://justoperezblog.wordpress.com/</t>
  </si>
  <si>
    <t>José Martínez Sáez</t>
  </si>
  <si>
    <t>Dice Pablo Casado que el PP se ha abstenido de condenar el franquismo pq este tema, en medio de las elecciones andaluzas, es polarizar el debate. Y que “no se puede morder este anzuelo para no hablar del 2018” Da por buena la transición que enterró en una fosa más la memoria.</t>
  </si>
  <si>
    <t>sin utopía no hay esperanza; sin esperanza no hay vida.</t>
  </si>
  <si>
    <t>El Majara de Turno</t>
  </si>
  <si>
    <t>Resumiendo: "Defiendo el fascismo como sistema político válido para España".</t>
  </si>
  <si>
    <t>http://bit.ly/2aBX4nT</t>
  </si>
  <si>
    <t>Andaluz y hedonista profesional. Facebook: https://www.facebook.com/elmajaradeturno</t>
  </si>
  <si>
    <t>https://bit.ly/2DNNJeq</t>
  </si>
  <si>
    <t>OMI5K</t>
  </si>
  <si>
    <t>Pablo Casado lo que debería de hacer es meter la cabeza en un hoyo. RT @eldiarioes: Pablo Casado dice que la exaltación del franquismo solo debería estar prohibida si es violenta, como la del comunismo</t>
  </si>
  <si>
    <t>Let's take a moment together to gather strength, And start this day feeling as important as it can be. The power is ours. Take a moment.🕉</t>
  </si>
  <si>
    <t>http://vsco.co/mahalocean</t>
  </si>
  <si>
    <t>Andrés Zurco Saldaña</t>
  </si>
  <si>
    <t>Pedro Sánchez que hace poco exigió rectificar a Pablo Casado y anunció públicamente que rompía relaciones con él por llamarle "golpista", trata ahora de minimizar los exabruptos y el gesto despreciable hacia su ministro de Exteriores.  vía @elespanolcom</t>
  </si>
  <si>
    <t>https://www.elespanol.com/opinion/editoriales/20181122/presidente-no-da/355104488_14.html</t>
  </si>
  <si>
    <t>Pre-Jubilado, viviendo solo en Barcelona (España), amigo de la amistad, amante del amor</t>
  </si>
  <si>
    <t>Olga Losada</t>
  </si>
  <si>
    <t>Sr. Pablo Casado: Hacer un supuesto máster para decir esto, piénselo...lo denigra. RT @BaaresCaro: Forrest Gump</t>
  </si>
  <si>
    <t>https://twitter.com/BaaresCaro/status/1065718074022744064
https://twitter.com/iescolar/status/1065579098666344448</t>
  </si>
  <si>
    <t>Aviso...No me importa los seguidores que pueda tener, sino las personas que tienen algo que aportar! Qué nadie se lleve a engaño.</t>
  </si>
  <si>
    <t>arcitecta</t>
  </si>
  <si>
    <t>A Pablo Casado le falta una patatina pa’l kilo. RT @eldiarioes: Pablo Casado dice que la exaltación del franquismo solo debería estar prohibida si es violenta, como la del comunismo</t>
  </si>
  <si>
    <t>Si esperas un poco, te hago un traje.</t>
  </si>
  <si>
    <t>ximo jordan</t>
  </si>
  <si>
    <t>| Juanma Moreno (PP): "Pablo Casado lleva cuatro meses, nadie le puede responsabilizar de las andaluzas"</t>
  </si>
  <si>
    <t>soc un iaioflauta del mon</t>
  </si>
  <si>
    <t>J. Alonso-Cuevillas</t>
  </si>
  <si>
    <t>Jurista i Economista. Catedràtic de Dret Processal UB. ExDegà ICAB. Antic President European Bars Federation (Federació Europea de Col·legis d’Advocats)</t>
  </si>
  <si>
    <t>https://www.facebook.com/Jacs.61</t>
  </si>
  <si>
    <t>NO VALEN ESCUSAS ENTREVISTA | Juanma Moreno (PP): "Pablo Casado lleva cuatro meses, nadie le puede responsabilizar de las andaluzas"</t>
  </si>
  <si>
    <t>𝔸𝕣𝕖𝕫𝕟𝕠</t>
  </si>
  <si>
    <t>Pablo Casado dice que sus padres era mellizos y que solo tuvo dos abuelos. RT @eldiarioes: Pablo Casado dice que la exaltación del franquismo solo debería estar prohibida si es violenta, como la del comunismo</t>
  </si>
  <si>
    <t>En la inopia</t>
  </si>
  <si>
    <t>No respondo, solo BLOCK. Tengo un Galaxy Note 9 y una Galaxy Tab S4 LTE y tú no.</t>
  </si>
  <si>
    <t>https://www.instagram.com/arezno/</t>
  </si>
  <si>
    <t>JoseL. Bejarano</t>
  </si>
  <si>
    <t>Una pregunta al señor @pablocasado_ su defensa de la libertad será igual para todos ¿no?, entonces eso quiere decir que la exaltación del nazismo si no es violenta también debería estar permitida ¿no?, ¿Y la de ETA?  vía @eldiarioes</t>
  </si>
  <si>
    <t>Edgardo Oviedo</t>
  </si>
  <si>
    <t>¡¡¡¡AHHHHH!!!!!!: Pablo Casado dice que la exaltación del franquismo solo debería estar prohibida si es violenta, como la del comunismo  …</t>
  </si>
  <si>
    <t>Socialista, padre, compañero, laico y republicano. Licenciado en Historia por la Universidad de Sevilla.</t>
  </si>
  <si>
    <t>Escritor, periodista,traductor, guionista, docente: Superviviente. No sigo porque me sigan. Sorry, I don´t follow everybody that follow me.</t>
  </si>
  <si>
    <t>S.M.SrDrDonMrIgnacio</t>
  </si>
  <si>
    <t>Pablo Casado dice que si hay que condenar el franquismo también hay que condenar el comunismo, lógico: Franquismo en España: 40 años Comunismo en España: Ceromil cerocientos cero años</t>
  </si>
  <si>
    <t>bolargo family</t>
  </si>
  <si>
    <t>Nací, crecí,intento reproducirme y moriré lo antes posible, no preocuparos. http://instagram.com/srdrdonmrignac… http://curiouscat.me/Minabolargo</t>
  </si>
  <si>
    <t>juanhv</t>
  </si>
  <si>
    <t>Europa</t>
  </si>
  <si>
    <t>Escritor. Último libro publicado Los fondos buitre, capitalismo depredador. CI, Madrid y Buenos Aires, 2015.</t>
  </si>
  <si>
    <t>http://laeuropaopacadelasfinanzas.com</t>
  </si>
  <si>
    <t>Pablo Casado dice que la exaltación del franquismo solo debería estar prohibida si es violenta, como la del comunismo</t>
  </si>
  <si>
    <t>A Pablo Casado le preguntan en la Ser por su PP en el que ha dimitido la Bien Pagá (Cospedal) y Coisidó está en la cuerda floja y salta por peteneras, diciendo que el gobierno “depende de socios como el señor Rufián”. Bonita manera de poner el ventilador y rehuir la pregunta.</t>
  </si>
  <si>
    <t>https://twitter.com/PSOE/status/1065580657211047942</t>
  </si>
  <si>
    <t>pic.twitter.com/4r430H7TgN</t>
  </si>
  <si>
    <t>La tensión entre la periodista y el suyo entrevistado era palpable | Vía @en_blau</t>
  </si>
  <si>
    <t>RojoyNegro</t>
  </si>
  <si>
    <t>¿Qué dirán de esto los aprendices de neoliberales Pablo Casado y Albert Rivera, sobretodo del impuesto de sucesiones?: La OCDE pide al Gobierno español que obligue a tributar a las plataformas digitales, suba el impuesto de sucesiones y el de patrimonio.</t>
  </si>
  <si>
    <t>https://www.infolibre.es/noticias/economia/2018/11/23/la_ocde_tambien_admite_necesidad_reformar_los_impuestos_espana_para_recaudar_mas_redistribuir_riqueza_89135_1011.html</t>
  </si>
  <si>
    <t>No nos importan las ruinas porque estamos llamados a heredar la tierra. Buenaventura Durruti.</t>
  </si>
  <si>
    <t>Miguel Guerrero</t>
  </si>
  <si>
    <t>Ciudad del Betis</t>
  </si>
  <si>
    <t>En este campo estuvo el mar, alguna vez volverá.</t>
  </si>
  <si>
    <t>Almudena Marea</t>
  </si>
  <si>
    <t>Marea verde, marea negra, marea blanca.....</t>
  </si>
  <si>
    <t>Jesús CDR II*II</t>
  </si>
  <si>
    <t>Disputa por los votantes de derecha , Albert Rivera y Pablo casado</t>
  </si>
  <si>
    <t>pic.twitter.com/1hrNJonzsH</t>
  </si>
  <si>
    <t>nescut al poble sec no ting odi als espanyol , ting odi als seus polítics feixistes , els catalans no tenim rei</t>
  </si>
  <si>
    <t>Miguel Izu</t>
  </si>
  <si>
    <t>Pamplona</t>
  </si>
  <si>
    <t>Cisexual. Habla en prosa. Cebollista. Equidistante, vive a 320 km. de Madrid y de Barcelona.</t>
  </si>
  <si>
    <t>https://mizu38.wixsite.com/miguelizu</t>
  </si>
  <si>
    <t>Víctor Arrogante ✊🔴</t>
  </si>
  <si>
    <t>Este tipo no necesita un máster, necesita el programa de Historia del bachillerato Pablo Casado dice que la exaltación del franquismo solo debería estar prohibida si es violenta, como la del comunismo  vía @eldiarioes @japtapias</t>
  </si>
  <si>
    <t>Profesor. Ayer y hoy militante por la justicia, la igualdad y la solidaridad. Inmediatamente me di cuenta que era algo por lo que merecía la pena luchar</t>
  </si>
  <si>
    <t>http://www.multiforo.eu</t>
  </si>
  <si>
    <t>Xavier OA</t>
  </si>
  <si>
    <t>El aznarismo se masturba con los discursos de Pablo Casado.</t>
  </si>
  <si>
    <t>La Nou de Gaia</t>
  </si>
  <si>
    <t>Viviendo entre 430 habitantes.</t>
  </si>
  <si>
    <t>Gonzalo🎗</t>
  </si>
  <si>
    <t>Es ahora.</t>
  </si>
  <si>
    <t>Portparte</t>
  </si>
  <si>
    <t>Anacleto Panceto</t>
  </si>
  <si>
    <t>Pablo Casado aprovechará el Black Friday para sacarse un par de doctorados.</t>
  </si>
  <si>
    <t>Zamora</t>
  </si>
  <si>
    <t>Primero vienen las sonrisas, luego las mentiras, por último llegan las balas...co-Creador/a del PANCETISMO y Mayordomo de @mematatugata</t>
  </si>
  <si>
    <t>http://www.alcantarillasocial.com/author/xuxipc/</t>
  </si>
  <si>
    <t>Maite Donosti</t>
  </si>
  <si>
    <t>Donostia - San Sebastián</t>
  </si>
  <si>
    <t>Arte-historia-tecnología-futuro @WomenInTheArts - Único Museo en Washington donde arte 100% creado por mujeres. Por qué no las traemos a Donosti?@tabakalera</t>
  </si>
  <si>
    <t>ESTEBAN</t>
  </si>
  <si>
    <t>Que personaje más simple y..,,,Pablo Casado dice que la exaltación del franquismo solo debería estar prohibida si es violenta, como la del comunismo  vía @eldiarioes</t>
  </si>
  <si>
    <t>Pablo Casado dice que la exaltación del franquismo solo debería estar prohibida si es violenta. @pablocasado_ le parece esto violencia? ... RT @AbueloBala: Si esto es mi país reniego de él. Me cago en todos y cada uno de vosotros. #Malnacidos</t>
  </si>
  <si>
    <t>Empleado Público</t>
  </si>
  <si>
    <t>https://twitter.com/AbueloBala/status/1064458992519430147</t>
  </si>
  <si>
    <t>pic.twitter.com/bYVm7oqXnC</t>
  </si>
  <si>
    <t>Tensión entre Pepa Bueno y Pablo Casado: "Desde Esperanza Aguirre no he tenido tantas dificultades para preguntar"</t>
  </si>
  <si>
    <t>Carlos Moreno Bernad</t>
  </si>
  <si>
    <t>Nunca es triste la verdad, lo que no tiene es remedio</t>
  </si>
  <si>
    <t>José Luis Tivi</t>
  </si>
  <si>
    <t>Resumen de lo de ayer para que el que se lo haya perdido. Uno de ERC escupe a uno del PSOE. Los compañeros del PSOE "no han visto nada". Pedro Sánchez echa la culpa a Pablo Casado y exige que se disculpe. El escupido no dimite, como habría hecho cualquiera.</t>
  </si>
  <si>
    <t>Gaditano, del Betis y liberal, por este orden. Hablo mucho de la política pero nunca bien. Contacto: eltivipata@gmail.com</t>
  </si>
  <si>
    <t>https://josetivi.wordpress.com/</t>
  </si>
  <si>
    <t>La Gaceta de Almeria</t>
  </si>
  <si>
    <t>Pablo Casado visita la provincia de Almería -</t>
  </si>
  <si>
    <t>http://lagacetadealmeria.es/pablo-casado-visita-la-provincia-de-almeria/</t>
  </si>
  <si>
    <t>https://pbs.twimg.com/media/Dso3g7lXQAEmIqr.jpg</t>
  </si>
  <si>
    <t>Almeria</t>
  </si>
  <si>
    <t>La Gaceta de Almeria es el periodico digital independiente de Almeria y su provincia</t>
  </si>
  <si>
    <t>http://www.lagacetadealmeria.com</t>
  </si>
  <si>
    <t>Nueva entrada (Pablo Casado visita la provincia de Almería) ha sido publicada en La Gaceta de Almeria (El periódico digital independiente)</t>
  </si>
  <si>
    <t>Pablo Casado visita la provincia de Almería</t>
  </si>
  <si>
    <t>https://pbs.twimg.com/media/Dso3grOVYAAQneg.jpg</t>
  </si>
  <si>
    <t>Estará acompañado por la cabeza de lista por la circunscripción almeriense, Maribel Sánchez, y por el presidente provincial del PP, Gabriel Amat A las 10:30 horas, intervendrá en un acto con mayores en...</t>
  </si>
  <si>
    <t>https://pbs.twimg.com/media/Dso3di2V4AA6Lb4.jpg</t>
  </si>
  <si>
    <t>Capitán Pescaitofrito 🎗 🔻</t>
  </si>
  <si>
    <t>Cuánta más obcecación veo contra Rufián, más ganas me da de que llegue el siguiente día y llame fascistas a Albert Rivera y a Pablo Casado en su puta cara. A ver si los francolievers explotan ya de rabia "democrática" cuando les pagan con su misma medicina. RT @gabrielrufian: Todo en orden.</t>
  </si>
  <si>
    <t>https://twitter.com/gabrielrufian/status/1065668592472080385</t>
  </si>
  <si>
    <t>https://pbs.twimg.com/media/DsoD7u0VAAABbzY.jpg</t>
  </si>
  <si>
    <t>En mis tiempos, cuando algún cretino escribía demasiadas tonterías en Twitter, le pasábamos las manos por la quilla.</t>
  </si>
  <si>
    <t>http://www.banquilleros.com</t>
  </si>
  <si>
    <t>manu</t>
  </si>
  <si>
    <t>Votando a Vox ayudas a Pablo Iglesias, comiendo en McDonalds creas empleo y si te afilias a Ciudadanos aprendes leyes matemáticas. La derecha andaluza, ya en cines.</t>
  </si>
  <si>
    <t>https://ctxt.es/es/20181121/Politica/22989/manu-garrido-elecciones-andaluc%C3%ADa-PP-Pablo-casado-campaña-sin-candidato-VOX.htm</t>
  </si>
  <si>
    <t>dog influencer</t>
  </si>
  <si>
    <t>Fernando del Rio</t>
  </si>
  <si>
    <t>Santiago - Galicia</t>
  </si>
  <si>
    <t>Membro da Executiva Nacional de @Converxencia XXI e vicepresidente da @galidem</t>
  </si>
  <si>
    <t>http://www.converxencia.eu</t>
  </si>
  <si>
    <t>Jose Solano</t>
  </si>
  <si>
    <t>#elintermedio Pablo Casado, en "Hoy por Hoy" ha vuelto a insultar a las víctimas del franquismo que fueron enterradas en las cunetas. Esperemos que este presunto sinvergüenza nunca gobierne España.</t>
  </si>
  <si>
    <t>UE</t>
  </si>
  <si>
    <t>Mozo de labranza, sin vocación. Jeder Tag ist eine Einladung an das Glück.</t>
  </si>
  <si>
    <t>ALF Astur</t>
  </si>
  <si>
    <t>Los tiempos que añora Pablo Casado</t>
  </si>
  <si>
    <t>https://pbs.twimg.com/media/Dso1BVHXQAA0o2Z.jpg</t>
  </si>
  <si>
    <t>sin pasado, sin presente y sin previsión de futuro</t>
  </si>
  <si>
    <t>personas≠DERECHOS=💚</t>
  </si>
  <si>
    <t>Pepa Bueno estalla contra Casado durante una entrevista de máxima tensión</t>
  </si>
  <si>
    <t>https://www.elnacional.cat/enblau/es/television/pepa-bueno-pablo-casado-tension_327399_102.html</t>
  </si>
  <si>
    <t>personas≠DERECHOS= 💜❤️💚somos+=que≠ ❤💛💜 🐦 ❤️💛💚💙💜 derechos iguales = personas diferentes ≠ 🙂💙💜❤️ 🐦 💘🍎🍐 🐦 💚💚💚 🐦</t>
  </si>
  <si>
    <t>¡Fuego!</t>
  </si>
  <si>
    <t>Pablo Casado quiere acabar con Dani Mateo.</t>
  </si>
  <si>
    <t>Malaga</t>
  </si>
  <si>
    <t>Quememos lo que nos destruye. Aviso: el #fuego es incorrecto político y socialmente porque la injusticia no se acata, se le incendia. Advertidx quedas.</t>
  </si>
  <si>
    <t>https://www.facebook.com/FuegoSubversivo</t>
  </si>
  <si>
    <t>Astur - Juanjo</t>
  </si>
  <si>
    <t>Ser licenciado no significa que sepas escribir, y mucho menos que tengas muchas luces, solo hay que ver a Pablo Casado RT @mariolinalina: La captura es de una que dice ser "licenciada" en magisterio... y que el voto de esta burra valga tanto como el mío 🤦‍♀️🤦‍♀️🤦‍♀️</t>
  </si>
  <si>
    <t>https://twitter.com/mariolinalina/status/1065679051409502213
https://twitter.com/Yolihm74/status/1065659905963696129</t>
  </si>
  <si>
    <t xml:space="preserve">Asturies </t>
  </si>
  <si>
    <t>Por la justicia social, creo en la lucha de clases, combatiendo al neofeudalismo y al nacionalcatolicismo</t>
  </si>
  <si>
    <t>http://ccoojusticiasturias.blogspot.com</t>
  </si>
  <si>
    <t>Alejandro Gil</t>
  </si>
  <si>
    <t>Barrio la Paz</t>
  </si>
  <si>
    <t>Nací, viví y aún no morí</t>
  </si>
  <si>
    <t>Panik</t>
  </si>
  <si>
    <t>Albert Rivera y Pablo Casado intentando incendiar la campaña electoral en Andalucía.</t>
  </si>
  <si>
    <t>pic.twitter.com/U9zIcEcTs2</t>
  </si>
  <si>
    <t>cansado de medios de información manipulados y derechas camufladas.</t>
  </si>
  <si>
    <t>alconperegrino2002</t>
  </si>
  <si>
    <t>Tensión entre Pepa Bueno y Pablo Casado: "Desde Esperanza Aguirre no he tenido tantas dificultade...  vía @YahooActualidad</t>
  </si>
  <si>
    <t xml:space="preserve">Palma de Mallorca </t>
  </si>
  <si>
    <t>https://es.noticias.yahoo.com/tensi%C3%B3n-pepa-pablo-casado-esperanza-102900929.html?soc_src=hl-viewer&amp;soc_trk=tw</t>
  </si>
  <si>
    <t>Pedro Castro Vázquez</t>
  </si>
  <si>
    <t>Getafe</t>
  </si>
  <si>
    <t>Fue Alcalde del Ayuntamiento de Getafe, ciudad que ha ocupado y ocupa mi vida y mis pensamientos</t>
  </si>
  <si>
    <t>http://www.pedrocastro.es</t>
  </si>
  <si>
    <t>Gonzalo Semprún</t>
  </si>
  <si>
    <t>Las mentiras de Pablo Casado sobre la renovación del Poder Judicial y el ‘wasap’ de Cosidó, por Ignacio Escolar  #FelizFinde #CuentamePeligro #Portada #Portadas #EnPortada</t>
  </si>
  <si>
    <t>https://pbs.twimg.com/media/DsovpHxXQAgT5mk.jpg</t>
  </si>
  <si>
    <t>Agregador de fragmentos de contenido NO significativo.</t>
  </si>
  <si>
    <t>German</t>
  </si>
  <si>
    <t>Pablo Casado, Albert Rivera (hoy volvió a llamar a @sanchezcastejon golpista) , ERC , PdCat... (Vox lo dejo fuera ya que es un sinsentido) Rebajad vuestros comentarios porque pasa lo que pasa, después pasa lo de San Juan de Aznalfarache ..... #YaEstaBien de tanta bilis x vosotros</t>
  </si>
  <si>
    <t>Solo se vive una vez. Militante socialista y de Jerez Instagram Ggc</t>
  </si>
  <si>
    <t>Mariano Miguel</t>
  </si>
  <si>
    <t>Usuario del mundo</t>
  </si>
  <si>
    <t>http://www.marianom.es/</t>
  </si>
  <si>
    <t>Zeno-sama #Tram0 St Esteve de les Roures</t>
  </si>
  <si>
    <t>Presentadora: Usted Condena el Franquismo. Pablo Casado: ETA, Ortega, Maduro, CUP y Arran. Argumentos de Pablo Casado (@pablocasado_) prácticamente no existen como sus masters.</t>
  </si>
  <si>
    <t>pic.twitter.com/aus61eTLx4</t>
  </si>
  <si>
    <t>Silvia Velazquez</t>
  </si>
  <si>
    <t>Catalunya, País Valencià.</t>
  </si>
  <si>
    <t>Cupaire, Independentista y de Izquierdas. Según PPSOEC's: Nazibolivariano. Alérgico a la Corrupción y al cinismo. En mí tiempo libre soy Zeno-sama.</t>
  </si>
  <si>
    <t>https://www.youtube.com/watch?v=jybqW6AZOQ0</t>
  </si>
  <si>
    <t>Mexico, DF</t>
  </si>
  <si>
    <t>Buscando Syndicat et sexualité, Unions and sexuality, Sindicalismo y sexualidad. Movimientos estudiantiles. CGH. Studiantil movement</t>
  </si>
  <si>
    <t>http://silviavelazquezmiranda.blogspot.com</t>
  </si>
  <si>
    <t>Protestona</t>
  </si>
  <si>
    <t>A Pablo Casado ya no le parece suficiente con mentirnos. Además tiene que mearnos en la cara o no se va contento a la cama.</t>
  </si>
  <si>
    <t>pic.twitter.com/EHeGcgl64x</t>
  </si>
  <si>
    <t>Republicana, feminista, atea y roja. Partisana. De Podemos. http://Instagram.com/Protestona1 TLG https://t.me/protestona1 https://www.facebook.com/Protestona2/</t>
  </si>
  <si>
    <t>http://alcantarillasocial.com/author/protestona1</t>
  </si>
  <si>
    <t>LCR</t>
  </si>
  <si>
    <t>este Medico esta sin Trabajo y a AL INUTIL DE PABLO CASADO REGALANDOLE CARRERAS Y MASTERS ....</t>
  </si>
  <si>
    <t>https://pbs.twimg.com/media/DsosqAYXgAET5WD.jpg</t>
  </si>
  <si>
    <t>Demócrata mi lucha por la libertad nunca http://cejara.Soy Español de Verdad y respeto La libertad estaré donde se luche por LA DEMOCRACIA LIBERTAD y la Republica✊✊✊</t>
  </si>
  <si>
    <t>Xabi</t>
  </si>
  <si>
    <t>Me acaban de comparar con Pablo Casado. No me parezco en Nada a ese hom... Viva el rey</t>
  </si>
  <si>
    <t>https://pbs.twimg.com/media/DsorHLwU4AAL7N8.jpg</t>
  </si>
  <si>
    <t>País Vasco, España</t>
  </si>
  <si>
    <t>25.Graduado en Marketing y Gestión empresarial. Técnico superior en Administración y Finanzas. Fitness, Gaming, Motos y Youtuber. Contacto: xabatzyt@gmail.com</t>
  </si>
  <si>
    <t>http://www.youtube.com/user/TheXabatz</t>
  </si>
  <si>
    <t>Pedro Z.</t>
  </si>
  <si>
    <t>La idea es poner al mismo nivel al franquismo y al comunismo, como si la guerra civil hubiese sido la lucha entre dos deologías totalitarias, y no un golpe de estado fascista contra un gobierno democrático y legítimo.  vía @eldiarioes</t>
  </si>
  <si>
    <t>Trabajador autónomo. Ni emprendedor, ni gaitas.</t>
  </si>
  <si>
    <t>Casado insiste en la ilegalización de la CUP y Arran vía @elnacionalcat_e  FASCISTA</t>
  </si>
  <si>
    <t>https://goo.gl/7oSWtR</t>
  </si>
  <si>
    <t>francisco alcaraz</t>
  </si>
  <si>
    <t>Pedro Sánchez exige disculpas a Pablo Casado porque ERC escupa a Borell -  #GoogleAlerts</t>
  </si>
  <si>
    <t>http://goo.gl/alerts/uUUNZ</t>
  </si>
  <si>
    <t>INTENDENTE MERCANTIL, SIN DISCIPLINA DE PARTIDO,VIAJERO,NATURAL DE JOILANDIA , MASTER EN DERECHO TRIBUTARIO Y ASESORIA FISCAL</t>
  </si>
  <si>
    <t>Nacho Díaz</t>
  </si>
  <si>
    <t>Que me ha gustado esto sobre la derecha y sus peculiaridades en Andalucia.</t>
  </si>
  <si>
    <t>https://ctxt.es/es/20181121/Politica/22989/manu-garrido-elecciones-andaluc%C3%ADa-PP-Pablo-casado-campa%C3%B1a-sin-candidato-VOX.htm?utm_source=twitter&amp;utm_medium=social&amp;utm_campaign=publico</t>
  </si>
  <si>
    <t>Algo más que redactor en @35milimetros_es He aprendido en @EFEnoticias. Roads go ever on.</t>
  </si>
  <si>
    <t>Pablo Casado ratifica al ex ministro Rafael Catalá tras el fiasco del CGPJ -  #GoogleAlerts</t>
  </si>
  <si>
    <t>http://goo.gl/alerts/uC72G</t>
  </si>
  <si>
    <t>Dulce N. Hidalgo 🛰️🇪🇸🇪🇺</t>
  </si>
  <si>
    <t>He descubierto la paradoja de que al amar hasta que me duela, dejo de sentir dolor, sólo siento más amor. (Santa Teresa de Calcuta).</t>
  </si>
  <si>
    <t>ADN circular</t>
  </si>
  <si>
    <t>Pablo Casado dice que la exaltación del franquismo solo debería estar prohibida si es violenta, como la del comunismo. !! El impresentable en su linea, ser fascista es como ser socialdemócrata o ecologista. !!</t>
  </si>
  <si>
    <t>Defendiendo la Educación Pública, Laica y Gratuita. Orgulloso de mis 3 brujas (mujeres sabias). Profe de Biología</t>
  </si>
  <si>
    <t>Jonah</t>
  </si>
  <si>
    <t>Pablo Casado con la iglesia</t>
  </si>
  <si>
    <t>Bibo hen mi kasa</t>
  </si>
  <si>
    <t>ウオヤエキミソタキオソエイエキチタクホスサヌウイトトカミソキホセレカミセシナウカミタセキ ਹੀਜੋ ਦੇ ਪਤਾ</t>
  </si>
  <si>
    <t>http://www.pajinawes.com</t>
  </si>
  <si>
    <t>Daniel RC</t>
  </si>
  <si>
    <t>Para Pablo Casado, Fidel Castro y Francisco Franco son iguales. Claro, dar un golpe de estado y desencadenar un genocidio político es lo mismo que rebelarse contra una dictadura y una ocupación extranjera.</t>
  </si>
  <si>
    <t>Soria</t>
  </si>
  <si>
    <t>Solo cuando lo has perdido todo comienzas a vivir libre. Fotógrafo. Diario de Soria/El Mundo</t>
  </si>
  <si>
    <t>http://danirodriguezphoto.tumblr.com/</t>
  </si>
  <si>
    <t>Ramiro Cruz</t>
  </si>
  <si>
    <t>Madrid -España</t>
  </si>
  <si>
    <t>http://www.etnikal.es</t>
  </si>
  <si>
    <t>Carme López</t>
  </si>
  <si>
    <t xml:space="preserve">Catalunya, Barcelona, Spain  </t>
  </si>
  <si>
    <t>RT, no significa necesariamente que este de acuerdo. Se unió en febrero de 2013</t>
  </si>
  <si>
    <t>Jorge Zuazola</t>
  </si>
  <si>
    <t>Que dice Pablo Casado que hay que ocuparse de lo que ocurre en el 2018, pero sin mirar mucho las concentraciones fascistas que no la lían parda como los antifascistas y que apoya a los fascistas latinoamericanos, pero él no es fascista. En su cabeza tiene sentido y lógica.</t>
  </si>
  <si>
    <t>Germany</t>
  </si>
  <si>
    <t>Leadership guru. Amazon Author. https://lnkd.in/eqhQnMN Founder of Spanish Leadership, German Leadership and American Leadership RTs are not endorsements</t>
  </si>
  <si>
    <t>ciudadano social</t>
  </si>
  <si>
    <t>Fernando Casanova</t>
  </si>
  <si>
    <t>Bizkaia, País Vasco</t>
  </si>
  <si>
    <t>Un ciudadano que al igual que la mayoría de este país quiere un cambio de políticas, que defiendan más a los ciudadanos de este maltrecho pais.</t>
  </si>
  <si>
    <t>https://shop.spreadshirt.es/camioriginal</t>
  </si>
  <si>
    <t xml:space="preserve">De nuevo en Buenos Aires </t>
  </si>
  <si>
    <t>Nací en Madrid y soy trabajador humanitario y amigo de América Latina. Profesional del Desarrollo Organizativo. Epicureo</t>
  </si>
  <si>
    <t>La tensión entre la periodista y el suyo entrevistado era palpable</t>
  </si>
  <si>
    <t>CRUZADO D NAVARRA</t>
  </si>
  <si>
    <t>Pablo Casado dice que la exaltación del franquismo solo debería estar prohibida si es violenta, como la del comunismo.</t>
  </si>
  <si>
    <t>https://google.com/newsstand/s/CBIw59_f-T0</t>
  </si>
  <si>
    <t>Pamplona, España</t>
  </si>
  <si>
    <t>. Siempre con los cuerpos y fuerzas de seguridad del estado. Equiparación salarial ya. UMC #YoTambienSoyGuardiaCivilDeAlsasua</t>
  </si>
  <si>
    <t>Toni C.</t>
  </si>
  <si>
    <t>Me gusta viajar, practico submarinismo y observo con expectación las bondades y las miserias de la sociedad y la política actual</t>
  </si>
  <si>
    <t>Dani Carpio Martín</t>
  </si>
  <si>
    <t>Distingo mejor a Andy y Lucas que a Pablo Casado y Albert Rivera</t>
  </si>
  <si>
    <t>26. Vallisoletano. Matemático y ahora proyecto de Estadístico, es decir, alguien muy loco. Reir como afición. Tv, política, chistes malos y croquetas.</t>
  </si>
  <si>
    <t>https://www.instagram.com/nicarpio_da/</t>
  </si>
  <si>
    <t>Taoista56</t>
  </si>
  <si>
    <t>LO QUE PENSAMOS NOS DÁ FORMA</t>
  </si>
  <si>
    <t>"La tesitura electoral en Andalucía se parece a una película de Michael Bay: explosiones y efectos especiales sin ton ni son para que la historia, que no cuenta absolutamente nada, tenga un poco de gracia" Esperando a la derecha en Andalucía. Por @manutv.</t>
  </si>
  <si>
    <t>https://ctxt.es/es/20181121/Politica/22989/manu-garrido-elecciones-andaluc%C3%ADa-PP-Pablo-casado-campa%C3%B1a-sin-candidato-VOX.htm?fbclid=IwAR3CZadvLNd4tLJEVjU3KaLGC6TiHFUhsiveLw1lVt1082EKUFUxUVbyFH8</t>
  </si>
  <si>
    <t>Paqui Muy ROJA</t>
  </si>
  <si>
    <t>La Universidad Rey Juan Carlos contrata como profesor a Pablo Casado  vía @eljueves</t>
  </si>
  <si>
    <t>En el mundo</t>
  </si>
  <si>
    <t>El que adelante no mira, atras se queda #YoConPedro 🌷🌷🌷</t>
  </si>
  <si>
    <t>David Ortiz</t>
  </si>
  <si>
    <t>Asunción Villaverde</t>
  </si>
  <si>
    <t>Esto ya es del club de la comedia. Pablo Casado dice que la exaltación del franquismo solo debería estar prohibida si es violenta, como la del comunismo  vía @eldiarioes</t>
  </si>
  <si>
    <t>aquí y allá</t>
  </si>
  <si>
    <t>Librepensador. Alguna vez escribo en Infolibre. El humor ha de ser como un látigo con cascabeles en la punta. José Martí</t>
  </si>
  <si>
    <t>Zaragoza , Spain</t>
  </si>
  <si>
    <t>Por un Estado Laico y por la III República</t>
  </si>
  <si>
    <t>http://www.mhuel.org</t>
  </si>
  <si>
    <t>laSexta Noticias</t>
  </si>
  <si>
    <t>VÍDEO | Pablo Casado justifica su abstención en la moción contra el franquismo: "Querían polarizar el debate en plenas elecciones andaluzas"</t>
  </si>
  <si>
    <t>http://atres.red/ugnrl1</t>
  </si>
  <si>
    <t>El twitter de laSexta | Noticias. Te contamos todo lo que ocurre en el momento que ocurre.</t>
  </si>
  <si>
    <t>http://www.lasexta.com/noticias/</t>
  </si>
  <si>
    <t>RTn #Ávila</t>
  </si>
  <si>
    <t>#Ávila Fernández Mañueco llama a los 'populares' a "llevar en volandas a Pablo Casado a La Moncloa"</t>
  </si>
  <si>
    <t>https://ift.tt/2PLL4Z3</t>
  </si>
  <si>
    <t>Ávila, España</t>
  </si>
  <si>
    <t>Noticias de #Ávila #CyL</t>
  </si>
  <si>
    <t>http://RTn.com</t>
  </si>
  <si>
    <t>Sapiens?</t>
  </si>
  <si>
    <t>Pablo Casado: "Afortunadamente lo que pasó en España en el año 75 quedó perfectamente (atado y bien atado) resuelto con la Constitución y la Transición" Transición: Trámite para legalizar lo robado durante la dictadura y mantener estatus con privilegios</t>
  </si>
  <si>
    <t>Barcelona, República de Catalunya</t>
  </si>
  <si>
    <t>Un sistema económico enfocado a que pocos vivan en el paraiso, mietras la mayoria subsiste o conocen el infierno en vida, es insostenible e indignante</t>
  </si>
  <si>
    <t>https://diario6.com/pablo-casado-el-hombre-que-cobra-1-842-euros-en-dietas-por-ser-diputado-por-avila-pero-que-vive-y-vota-en-madrid/#.W_cGURyV7QM.twitter</t>
  </si>
  <si>
    <t>Tribuna de Ávila</t>
  </si>
  <si>
    <t>#Ávila I Fernández Mañueco llama a los 'populares' a "llevar en volandas a Pablo Casado a La Moncloa" via @TribunadeAvila</t>
  </si>
  <si>
    <t>https://www.tribunaavila.com/noticias/fernandez-manueco-llama-a-los-populares-a-llevar-en-volandas-a-pablo-casado-a-la-moncloa</t>
  </si>
  <si>
    <t>http://www.tribunaavila.com/</t>
  </si>
  <si>
    <t>ＳＡＶＩＳＣＡＴＡＬＡＮＳ🎗</t>
  </si>
  <si>
    <t>Increíbles imágenes de la pelea en un restaurante entre Albert rivera y Pablo casado!!!</t>
  </si>
  <si>
    <t>pic.twitter.com/LLX3kUyGVQ</t>
  </si>
  <si>
    <t>Barcelona, Catalunya</t>
  </si>
  <si>
    <t>TWITTER OFICIAL dels 𝗦𝗮𝘃𝗶𝘀Catalans 𝘥𝘦 𝘚𝘢𝘯𝘵 𝘌𝘴𝘵𝘦𝘷𝘦 𝘥𝘦 𝘭𝘦𝘴 𝘙𝘰𝘶𝘳𝘦𝘴 tendencia humoristica de la politica actual y derivados</t>
  </si>
  <si>
    <t>http://www.facebook.com/saviscatalans</t>
  </si>
  <si>
    <t>Mileva Maric Maric</t>
  </si>
  <si>
    <t>Pablo Casado es tan peligroso por ignorante. RT @PedroPmotero: Pablo Casado dice que la exaltación del franquismo solo debería estar prohibida si es violenta, como la del comunismo  vía @eldiarioes</t>
  </si>
  <si>
    <t>María Lzn 🎗</t>
  </si>
  <si>
    <t>. ⁦@pablocasado_⁩ es un terrorista de la palabra. Este personaje hace mucho daño a la Historia y a los españoles que lucharon por la democracia y siguen en el barro de las cunetas donde los llevó el franquismo y la bestia.</t>
  </si>
  <si>
    <t>https://twitter.com/PedroPmotero/status/1065688103468167169
https://www.eldiario.es/_31fabdf9</t>
  </si>
  <si>
    <t>Republicana, feminista de izquierda, verde, animalista y buscando una justicia que no dependa de proxenetas políticos.</t>
  </si>
  <si>
    <t>Tu mundo</t>
  </si>
  <si>
    <t>Nunca sabes cuándo va a suceder algo interesante, las mejores oportunidades aparecen en los lugares menos esperados.</t>
  </si>
  <si>
    <t>Juan Manuel</t>
  </si>
  <si>
    <t>PP y Vox compiten por ser la voz de “la España que madruga” Pablo Casado y Santiago Abascal se dirigen al mismo electorado, "la España de los balcones". Vox no compite con nadie. Pp se copia de Vox,siempre a rebufo de Abascal.</t>
  </si>
  <si>
    <t>https://pbs.twimg.com/media/DsoXWCcWsAAC0nP.jpg</t>
  </si>
  <si>
    <t>Más,por que el gran satírico no aliente? No ha de haber un espíritu valiente? Siempre se ha de pensar lo que se dice? Nunca se ha de decir lo que se siente?.</t>
  </si>
  <si>
    <t>ALIAS</t>
  </si>
  <si>
    <t>Rubén Hood - DESMONTANDO a PABLO CASADO en 6 pasos  vía @YouTube</t>
  </si>
  <si>
    <t>https://youtu.be/jybqW6AZOQ0</t>
  </si>
  <si>
    <t>jose  luis  suarez</t>
  </si>
  <si>
    <t>Si se puede ......cambiar este país</t>
  </si>
  <si>
    <t>Federico García</t>
  </si>
  <si>
    <t>N332Tweets</t>
  </si>
  <si>
    <t>Fernández Mañueco llama a los ‘populares’ a “llevar en volandas a Pablo Casado a La Moncloa”</t>
  </si>
  <si>
    <t>http://ontheroadtoday.com/news/fernandez-manueco-llama-a-los-populares-a-llevar-en-volandas-a-pablo-casado-a-la-moncloa/</t>
  </si>
  <si>
    <t>https://pbs.twimg.com/media/DsoVamZVAAA9PO2.jpg</t>
  </si>
  <si>
    <t>Europe</t>
  </si>
  <si>
    <t>News, updates and information, in English, about driving in Spain.</t>
  </si>
  <si>
    <t>http://www.n332.es</t>
  </si>
  <si>
    <t>Road Watch EU</t>
  </si>
  <si>
    <t>Road Watch EU is an online magazine bringing you motoring and traffic news and advice from across Europe, plus industry insights for motoring enthusiasts</t>
  </si>
  <si>
    <t>http://www.roadwatch.eu</t>
  </si>
  <si>
    <t>Europa Press CyL</t>
  </si>
  <si>
    <t>https://www.europapress.es/castilla-y-leon/noticia-fernandez-manueco-llama-populares-llevar-volandas-pablo-casado-moncloa-20181122202252.html</t>
  </si>
  <si>
    <t>Los de las Cajas en B a nivel Nacional por toda España ,,y Financiaciones Ilegales en B ,de mafias amigas ,@pablocasado_ y su banda ,,piden que se ilegalice la CUP y Arran @EU_Commission @CasaReal @CiudadanosCs @PSOE @PPopular  …</t>
  </si>
  <si>
    <t>Cuenta oficial de noticias de Europa Press Castilla y León http://www.europapress.es/castilla-y-leon/</t>
  </si>
  <si>
    <t>http://www.europapress.es/castilla-y-leon/</t>
  </si>
  <si>
    <t>https://www.elnacional.cat/es/politica/pablo-casado-ilegalizacion-cup-arran_327270_102.html</t>
  </si>
  <si>
    <t>Alsajano</t>
  </si>
  <si>
    <t>Me ha gustado un vídeo de @YouTube ( - Anabel Alonso destroza a Pablo Casado en Twitter con una mofa).</t>
  </si>
  <si>
    <t>http://youtu.be/-rYAYb8hm4c?a</t>
  </si>
  <si>
    <t>Corazón de #Cantabria</t>
  </si>
  <si>
    <t>No soy un as, no. Fernando F. Saiz.</t>
  </si>
  <si>
    <t>El problema con Pablo Casado no es ya la cantidad de barbaridades que dice, es que no para de hablar RT @HoyPorHoy: DIRECTO ¿La exaltación del franquismo debería estar prohibida? "Si es violenta, debería prohibirse"</t>
  </si>
  <si>
    <t>https://twitter.com/HoyPorHoy/status/1065520704186212357
http://cadenaser.com/programa/2018/11/21/hoy_por_hoy/1542803484_524062.html?ssm=tw-hxh</t>
  </si>
  <si>
    <t>Alfilo de la Brecha</t>
  </si>
  <si>
    <t>Pablo Casado cree que exhaltar el fascismo "sin violencia" deberia ser legal, es decir, que hacer apología del fascismo debería ser legal...Como se notan las elecciones y que hay muchos partidos de derechas. YO SOY MAS FACHA! NO ! YO SOY MAS FACHA! NOOOO YO!</t>
  </si>
  <si>
    <t>La ciudad mas bonita del mundo</t>
  </si>
  <si>
    <t>Antropólogo, animador sociocultural y croupier. También soy de izquierdas, activista antifascista, humorista amateur y amo los pingüinos. Miro los MD de reojo</t>
  </si>
  <si>
    <t>https://www.youtube.com/c/alfilodelabrecha</t>
  </si>
  <si>
    <t>Juan Casamayor</t>
  </si>
  <si>
    <t>máxima que me mantiene vivo PREFIERO MORIR DE PIE QUE VIVIR SIEMPRE ARRODILLADO luchador incansable contra las desigualdades, corruptos y pobreza del mundo</t>
  </si>
  <si>
    <t>Jagoba Alvarez Ereño 🔻</t>
  </si>
  <si>
    <t>Pablo Casado dice que no condena el franquismo porque lo que se quería era «polarizar el debate». Con la de veces que han dicho lo de «condenar» a otros.</t>
  </si>
  <si>
    <t>Bizkaia</t>
  </si>
  <si>
    <t>Profesor Secundaria (Historia, Geografía, Economía) Autor de #TomasMeabe: escritos políticos✊. También de #DefinitivamenteTú 💘 💏🏻 En Instagram: jagospierre</t>
  </si>
  <si>
    <t>http://www.editorialtintamala.com/jagoba-alvarez/</t>
  </si>
  <si>
    <t>https://twitter.com/pablocasado_/status/1065546431677820929</t>
  </si>
  <si>
    <t>https://pbs.twimg.com/media/DsmU1DjWwAAwzPQ.jpg</t>
  </si>
  <si>
    <t>Anita Thomsen</t>
  </si>
  <si>
    <t>http://www.anitathomsen.info</t>
  </si>
  <si>
    <t>Canduterio de Cai</t>
  </si>
  <si>
    <t>La violencia, es el último recurso del incompetente. Pero una buena hostia a tiempo, es mano de santo.</t>
  </si>
  <si>
    <t>Partido Popular de Santa Fe, El Jau y Pedro Ruiz</t>
  </si>
  <si>
    <t>Si quieres venir al mitin de Pablo Casado y Juanma Moreno saldrá un autobús desde rotonda del reloj frente bar Santi y Douglas el próximo día 24 a las 9,00 horas. Reserva tu plaza hasta las 17, 00 horas del día 23 viernes en el e-mail: ppopularsantafe@gmail.com</t>
  </si>
  <si>
    <t>https://pbs.twimg.com/media/DsoQlakXcAAGbAL.jpg</t>
  </si>
  <si>
    <t>Santa Fe (Granada)</t>
  </si>
  <si>
    <t>Twitter oficial del Partido Popular de Santa Fe http://www.ppsantafe.org</t>
  </si>
  <si>
    <t>http://www.ppsantafe.org</t>
  </si>
  <si>
    <t>David Dominguez</t>
  </si>
  <si>
    <t>https://twitter.com/eldiarioes/status/1065600537771589634
https://www.eldiario.es/politica/Pablo-Casado-exaltacion-franquismo-probidida_0_838516217.html</t>
  </si>
  <si>
    <t>https://pbs.twimg.com/media/DsnEi6KWsAAvgk-.jpg</t>
  </si>
  <si>
    <t>Memoria_ARMH</t>
  </si>
  <si>
    <t>Pablo Casado llama reparación a las víctimas de la dictadura que las viudas de los republicanos cobraran a partir de 1979 una pensión de viudedad que no habían cobrado durante 40 años teniendo derecho a ella. El negacionismo de la derecha que no cesa. RT @grancocolio: Casado es entrevistado en la SER, se lía y no deja que le hagan preguntas. Esto es lo nunca visto en personas entrevistadas. Vean la repuesta de la presentadora por no dejarla que le hiciera las preguntas correspondientes.</t>
  </si>
  <si>
    <t>Work in progress en El Independiente | Fundador de http://elespanol.com | Desarrollo Web en http://atresmedia.com | Vídeo y diseño en elmundo.es</t>
  </si>
  <si>
    <t>http://www.daviddominguez.com</t>
  </si>
  <si>
    <t>Asociación para la Recuperación de la Memoria Histórica. Desde 2000, buscando justicia para las personas desaparecidas por la dictadura franquista.</t>
  </si>
  <si>
    <t>http://www.memoriahistorica.org</t>
  </si>
  <si>
    <t>Aliolé</t>
  </si>
  <si>
    <t>La indignación me hizo más roja, la esperanza me volvió morada..</t>
  </si>
  <si>
    <t>J.Almansa</t>
  </si>
  <si>
    <t>Pepa Bueno estalla contra Casado durante una entrevista de máxima tensión vía @elnacionalcat_e</t>
  </si>
  <si>
    <t>Ciudadano del Mundo</t>
  </si>
  <si>
    <t>Nací a muy temprana edad y morir es lo último que haría en esta vida.</t>
  </si>
  <si>
    <t>Pascal Giovanni</t>
  </si>
  <si>
    <t>Rubén Hood - DESMONTANDO a PABLO CASADO en 6 pasos  via @YouTube</t>
  </si>
  <si>
    <t>Martinique</t>
  </si>
  <si>
    <t>https://www.youtube.com/attribution_link?a=bOQr401Kgbk&amp;u=%2Fwatch%3Fv%3DjybqW6AZOQ0%26feature%3Dshare</t>
  </si>
  <si>
    <t>Juan Lopez Escorza</t>
  </si>
  <si>
    <t>Este tipo no sabe ni de lo que habla...</t>
  </si>
  <si>
    <t>Vélez-Málaga, España</t>
  </si>
  <si>
    <t>indignado con las injusticias, el hambre y los desequilibrios que hemos generado. El Marki http://suruiga.wordpress.com</t>
  </si>
  <si>
    <t>http://cjueloberoi.blogspot.com.es/</t>
  </si>
  <si>
    <t>Ⓩ Ⓞ Ⓝ Ⓐ 💯</t>
  </si>
  <si>
    <t>Pablo Casado justifica su abstención en la moción contra el franquismo: "Querían polarizar el debate en plenas el...</t>
  </si>
  <si>
    <t>https://www.lasexta.com/noticias/nacional/pablo-casado-justifica-su-abstencion-en-la-mocion-contra-el-franquismo-querian-polarizar-el-debate-en-plenas-elecciones-andaluzas-video_201811225bf6cfff0cf21dead6c04f58.html</t>
  </si>
  <si>
    <t>Porque vivir sin información es como asaltar un banco armado con un plátano... ¡¡Bienvenido a Ⓩ Ⓞ Ⓝ Ⓐ 💯!!</t>
  </si>
  <si>
    <t>Más Vale Tarde</t>
  </si>
  <si>
    <t>VÍDEO | Pablo Casado, tras el rifirrafe en el Congreso: "Es lamentable que el Gobierno dependa de socios como Rufián"</t>
  </si>
  <si>
    <t>http://atres.red/1wm6e7</t>
  </si>
  <si>
    <t>Cada tarde, a las 17:15, en laSexta, contamos bien buenas historias y analizamos la actualidad.</t>
  </si>
  <si>
    <t>http://www.lasexta.com/programas/mas-vale-tarde/</t>
  </si>
  <si>
    <t>@Mariano9605</t>
  </si>
  <si>
    <t>Pablo Casado dice que la exaltación del franquismo solo debería estar prohibida si es violenta, como la del comunismo  vía @eldiarioes Casado no aclara si el Partido Comunista debería ser ilegalizado,como proponía la enmienda presentada x el PP en el Senado</t>
  </si>
  <si>
    <t>España.</t>
  </si>
  <si>
    <t>60 años desde mi nacimiento. NO UTILIZO DM</t>
  </si>
  <si>
    <t>jibar0</t>
  </si>
  <si>
    <t>Aunque llame intelectual a Pablo Casado estoy de acuerdo con que ha sido ese capullo el autor del watsapp RT @ErnestoEkaizer: #CosidóGate El portavoz del PP en el Senado no fue el autor del watsapp porque, como dice en el mismo, el que lo escribe estaba en primera línea de la negociación del pacto sobre Marchena. Y Cosidó no estuvo. Se apunta que Pablo Casado es el autor intelectual.</t>
  </si>
  <si>
    <t>https://twitter.com/ErnestoEkaizer/status/1065360735218409477</t>
  </si>
  <si>
    <t>Hacktivista.</t>
  </si>
  <si>
    <t>Nicomedes</t>
  </si>
  <si>
    <t>Que no nos engañe Pablo Casado, el comunismo en España no le llegó ni a la suela de los zapatos al franquismo. Si el PP no condena el franquismo es porque sus origenes son franquistas y de aquellos polvos...</t>
  </si>
  <si>
    <t>https://www.huffingtonpost.es/2018/11/16/chato-victima-del-franquismo-el-psoe-ha-gobernado-mientras-habia-militantes-suyos-en-las-fosas_a_23590576/?ncid=other_twitter_cooo9wqtham&amp;utm_campaign=share_twitter</t>
  </si>
  <si>
    <t>SU Wenli 🎗️</t>
  </si>
  <si>
    <t>Fijaos muy bien cuando Pablo Casado, Albert Rivera , Inés Arrimadas y otros no dejan hablar a los periodistas que los entrevistan. Es ahí donde delatan que les estan pillando en un tema que les pica. RT @PSOE: 🙄 El nuestro está muerto desde hace medio siglo 🙄 El tema de Franco es una cortina de humo 🙄 A mí me pagan por gestionar el presente, no el pasado 🙄 No voy a dedicar ni un euro en desenterrar al dictador Vale, Pablo. Para ti, todo es cosa de la guerra del abuelo. Entendido.</t>
  </si>
  <si>
    <t>No nacionalista. Alguien que cree que el mal gobierno debe penalizarse, y el buen gobierno reconocerse.</t>
  </si>
  <si>
    <t>#JOSOCCDRANTIFEIXISTA</t>
  </si>
  <si>
    <t>PRESENTACION DE PABLO CASADO EN ANDALUCÍA</t>
  </si>
  <si>
    <t>https://pbs.twimg.com/media/DsoJbXUUUAAjGwI.jpg</t>
  </si>
  <si>
    <t>David Gonzalez Sanz</t>
  </si>
  <si>
    <t>Parecía difícil decir mas estupideces de las que decia @marianorajoy pero ha llegado @pablocasado_ y ha dado la sorpresa!! Es imposible decir mas estupideces. "Pablo Casado dice que la exaltación del franquismo solo debería estar prohibida si es violenta, como la del comunismo"</t>
  </si>
  <si>
    <t>CATALANA FINS LA MORT INDEPENDENTISTA ANTIFEIXISTA NO M'AGRADEN LES INJUSTÍCIES DEFENSO LA LLIBERTAT D'EXPRESSIÓ ANIMALISTA EN AL FONS SOC ANARQUISTA</t>
  </si>
  <si>
    <t>luis couto</t>
  </si>
  <si>
    <t>"La situación de España no es la óptima" no claro , porque la del PP en cambio está mejor que nunca, no le busques explicación es Pablo Casado, presidente del PP hasta que lo echen. RT @ElHuffPost: Tensión entre Pepa Bueno y Pablo Casado: "Desde Esperanza Aguirre no he tenido tantas dificultades para hacer preguntas"</t>
  </si>
  <si>
    <t>Castilla y León, Valladolid</t>
  </si>
  <si>
    <t>Tenemos la oportunidad de cambiar el mundo, no la desaprovechemos! #SumamosParaVencer En @iuvall @pcevalladolid y #confluencias</t>
  </si>
  <si>
    <t>https://www.energeticacoop.es</t>
  </si>
  <si>
    <t>https://twitter.com/ElHuffPost/status/1065671966013751301
https://www.huffingtonpost.es/2018/11/22/tension-entre-pepa-bueno-y-pablo-casado-desde-esperanza-aguirre-no-he-tenido-tantas-dificultades-para-hacer-preguntas_a_23596803/</t>
  </si>
  <si>
    <t xml:space="preserve">Galiza </t>
  </si>
  <si>
    <t>Veterinario. Esp Bromatologo. Auditor alimentaria. HACCP.</t>
  </si>
  <si>
    <t>zarasenda</t>
  </si>
  <si>
    <t>Pablo Casado : Continuador de la política franquista de Aznar,sigue insultando a los que lucharon por la República y tienen a familiares en las cunetas. Para Vd. defensor de Franco,todo es cosa de la guerra del abuelo. RT @PSOE: 🙄 El nuestro está muerto desde hace medio siglo 🙄 El tema de Franco es una cortina de humo 🙄 A mí me pagan por gestionar el presente, no el pasado 🙄 No voy a dedicar ni un euro en desenterrar al dictador Vale, Pablo. Para ti, todo es cosa de la guerra del abuelo. Entendido.</t>
  </si>
  <si>
    <t>Jubilado con 51 años cotizados.Me preocupa el futuro de mis hijos y nietos</t>
  </si>
  <si>
    <t>Pepo82 🎗</t>
  </si>
  <si>
    <t>FASCISTA DE MIERDA!!! 😲😤😷 Pablo Casado dice que la exaltación del franquismo solo debería estar prohibida si es violenta, como la del comunismo  via @eldiarioes</t>
  </si>
  <si>
    <t>Flix</t>
  </si>
  <si>
    <t>Flixanco, Català e independentista.</t>
  </si>
  <si>
    <t>Luis Rueda Martín</t>
  </si>
  <si>
    <t>¿Por qué La Ser entrevista a Pablo Casado dos días seguidos?</t>
  </si>
  <si>
    <t>https://pbs.twimg.com/media/DsoHsUbXcAIHTDr.jpg</t>
  </si>
  <si>
    <t>Arroyomolinos (Madrid)</t>
  </si>
  <si>
    <t>LVL 22. Buscando un país mejor. Derecho + Políticas (UCM) 😊📓📖 | Creador de @lamesa_gourmet - Tienda online de alimentación ecológica🌱 y saludable💙</t>
  </si>
  <si>
    <t>http://www.lamesadelgourmet.com</t>
  </si>
  <si>
    <t>Finch</t>
  </si>
  <si>
    <t>Elecciones Andalucía 2018: Pablo Casado insiste en un pacto PP-A y C's para desbancar a Díaz del gobierno andaluz</t>
  </si>
  <si>
    <t>https://okdiario.com/espana/2018/11/22/casado-insiste-pacto-pp-cs-desbancar-diaz-del-gobierno-andaluz-3379177#.W_b0qi1Ou_s.twitter</t>
  </si>
  <si>
    <t>En el Océano de los Sueños</t>
  </si>
  <si>
    <t>Me da igual a que clase, tipo u orden social perteneces. Yo soy un pirata y trato a todos por igual.</t>
  </si>
  <si>
    <t>M. Ángel López Bravo</t>
  </si>
  <si>
    <t>Rosa María</t>
  </si>
  <si>
    <t>Tensión entre Pepa Bueno y @pablocasado_ : "Desde Esperanza Aguirre no he tenido tantas dificultades"</t>
  </si>
  <si>
    <t>Apasionado de la cultura Oriental.</t>
  </si>
  <si>
    <t>NUEVAMENTE PABLO CASADO PROMETE QUE HAY QUE CAMBIAR MUCHO PARA CONTINUAR SIENDO LO MISMO. @pablocasado_ @ppandaluz @PPSevillaDipu @PPdeSevilla @ConPPCordoba @Santi_ABASCAL @monasterioR @vox_malaga @VoxCordoba @VOXSevilla @VOX_Jaen @vox_granada @vox_es #AndaluciaPorEspaña RT @Juan_A_Morales: ¡¡INCREIBLE: Teniendo Mayoría el @PPopular y @CiudadanosCs se abstienen para que gane la izquierda…!!. 😳😳 Se creen que Absteniéndose no les van a llamar “Franquistas”. 👉 Se equivocan, se lo van a seguir llamando, pero además de “Traidores…”. 🇪🇸</t>
  </si>
  <si>
    <t>https://twitter.com/juan_a_morales/status/1065485270429118466
https://www.eldiario.es/politica/PP-Ciudadanos-condenar-franquismo-Senado_0_838166777.html</t>
  </si>
  <si>
    <t>francisco jose marqu</t>
  </si>
  <si>
    <t>Tensión entre Pepa Bueno y Pablo Casado: "Desde Esperanza Aguirre no he tenido tantas dificultades para hacer pre...</t>
  </si>
  <si>
    <t>http://va.newsrepublic.net/s/UdTdsY</t>
  </si>
  <si>
    <t>Rossina</t>
  </si>
  <si>
    <t>Roja, de convicciones fuertes, Igualitaria.</t>
  </si>
  <si>
    <t>Vespertina</t>
  </si>
  <si>
    <t>Nunca dudes de que un grupo de ciudadanos, conscientes y comprometidos, pueden cambiar el mundo, de hecho, siempre ha sido así</t>
  </si>
  <si>
    <t>spain</t>
  </si>
  <si>
    <t>DMarzal 🏳️‍🌈</t>
  </si>
  <si>
    <t>Que alguien le explique al anafabeto de Pablo Casado que el fascismo es violento por definición. Gracias.</t>
  </si>
  <si>
    <t>Santa Eulària des Riu, Espanya</t>
  </si>
  <si>
    <t>Voy a portarme bien.</t>
  </si>
  <si>
    <t>josegabriel</t>
  </si>
  <si>
    <t>Pablo Casado,orgullosa ignorancia:"Dictadores cubanos siguen matando a gente",mientras el pte. visita Cuba y su gobierno legítimo</t>
  </si>
  <si>
    <t>Ciudadano del mundo. Doctor (PhD) en Geo e Historia. Investigador. Profe.Nada humano me es ajeno. Cooperante. Proyectos de Desarrollo. Humor cáustico, dicen!</t>
  </si>
  <si>
    <t>http://elregresodejuandemairena.blogspot.com.es/</t>
  </si>
  <si>
    <t>Bartolome Cano</t>
  </si>
  <si>
    <t>OPINIÓN | Las mentiras de Pablo Casado sobre el golpe, la Gürtel o la guerra de Irak, por Ignacio Escolar, @iescolar  vía @iescolar</t>
  </si>
  <si>
    <t>https://www.eldiario.es/_316622b4</t>
  </si>
  <si>
    <t>MADRID</t>
  </si>
  <si>
    <t>COMUNISTA,REPUBLICANO,ATEO Y ANTICLERICAL.</t>
  </si>
  <si>
    <t>Ni Dios ni Rey</t>
  </si>
  <si>
    <t>Pablo Casado quiere que a los jueces del Supremo, del CGPJ, del Constitucional y de la Audiencia Nacional los elija el Opus Dei. "Son los que mejor preparados están para impartir la justicia Inquisitorial y Divina"...</t>
  </si>
  <si>
    <t>Esperando el Asteroide de 10Km de diámetro que nos ponga en nuestro sitio. "Periodista de Investigación Superficial"</t>
  </si>
  <si>
    <t>montse#Sediciósa🎗️</t>
  </si>
  <si>
    <t>Pablo Casado, eres CORTO.. CORTITO!! RT @JoanQueralt: Las estrellas de David se las ponían A LA FUERZA los nazis a los judíos. Ese franquismo, que Casado no condena, fue su cómplice. Los lazos amarillos se los pone LIBREMENTE la gente para protestar por la prisión sin base legal de sus líderes. Esto no es de máster: es de EGB</t>
  </si>
  <si>
    <t>https://twitter.com/JoanQueralt/status/1065523592165801984
https://twitter.com/elperiodico/status/1064199052697497601</t>
  </si>
  <si>
    <t xml:space="preserve">Barcelona, Catalunya </t>
  </si>
  <si>
    <t>aire</t>
  </si>
  <si>
    <t>Todo el mundo con historias súper románticas pero no obviemos que yo he empezado a hablar con mi novio porque le envié UN MEME DE PABLO CASADO Y UN PERRO por fin el fascismo haciendo algo bueno, coño RT @n0avila: y ahora es lo mejor de mi vida💙</t>
  </si>
  <si>
    <t>https://twitter.com/n0avila/status/1065592636109725696</t>
  </si>
  <si>
    <t>https://pbs.twimg.com/media/Dsm-11UXQAEEick.jpg</t>
  </si>
  <si>
    <t>soy pelirroja</t>
  </si>
  <si>
    <t>Miguel B Casanova</t>
  </si>
  <si>
    <t>Pero que esperábamos, que siguiera adelante después del RIDÍCULO del aforado Pablo Casado? La Fiscalía pide archivar la causa contra la exministra Carmen Montón por su máster en la URJC  vía @eldiarioes</t>
  </si>
  <si>
    <t>https://www.eldiario.es/_31fac004</t>
  </si>
  <si>
    <t>El chato de Móstoles</t>
  </si>
  <si>
    <t>Adolfo Suarez, tiene, que venir, a Madrid. Para darle a su hijo ,miles de hostias, por estar y ser lacayo,. del fascista Pablo Casado. RT @Yo_Soy_Asin: Os imagináis que en Alemania, el principal partido de la oposición dijera que si en Alemania tienen una democracia es gracias a Hitler??? Pues vean, vean lo que dice el "nuevo" PP 👇👇👇</t>
  </si>
  <si>
    <t>https://twitter.com/Yo_Soy_Asin/status/1065533070768508933</t>
  </si>
  <si>
    <t>https://pbs.twimg.com/media/DsmIqq6XQAAZwcg.jpg</t>
  </si>
  <si>
    <t>LGBT News</t>
  </si>
  <si>
    <t>.@El_Plural apunta que el consejero madrileño Jaime @DeLosSantosLeal es uno de los nombres que baraja el presidente @PabloCasado_ como candidato para el Ayuntamiento de Madrid o la la propia Comunidad</t>
  </si>
  <si>
    <t>https://www.elplural.com/politica/pablo-casado-baraja-al-estilista-de-la-mujer-de-rajoy-para-madrid_206812102</t>
  </si>
  <si>
    <t>https://pbs.twimg.com/media/Dsm8pSFXQAAnawj.jpg</t>
  </si>
  <si>
    <t>CARRASCLET 💣</t>
  </si>
  <si>
    <t>Tensión entre Pepa Bueno y Pablo Casado: "Desde Esperanza Aguirre no he tenido tantas dificultade...</t>
  </si>
  <si>
    <t>España / Spain</t>
  </si>
  <si>
    <t>Un canal bidireccional de información sobre Derechos y Libertades LGBT # Bidirectional way on information about LGBTT Civil Rights</t>
  </si>
  <si>
    <t>https://es.yahoo.com/noticias/tensi%C3%B3n-pepa-pablo-casado-esperanza-102900929.html</t>
  </si>
  <si>
    <t>ESPANYA TROPICALIZADA</t>
  </si>
  <si>
    <t>PERIODISTA CABREADO...INGENIERO SOÑADOR, APRENDIZ DE POLÍMATA FRACASADO, PERO TENAZ Y LIBRE PENSADOR.</t>
  </si>
  <si>
    <t>Ángel</t>
  </si>
  <si>
    <t>No quiero escuchar la entrevista de esta mañana de la analfabeta de la Ser a Pablo Casado. Primero por no darles visitas y segundo porque sólo con el fragmento que he escuchado he estado cerca de liarme a tiros.</t>
  </si>
  <si>
    <t>Ah, no lo sé.</t>
  </si>
  <si>
    <t>Cuando te interesa algo que a los demás no, lo educado es callarse.</t>
  </si>
  <si>
    <t>Miguel</t>
  </si>
  <si>
    <t>Periodismo Please</t>
  </si>
  <si>
    <t>Pablo Casado va a un pueblo cercano al mío con la premisa de la creación de espacios urbanísticos ilegales, cuando en el Ayuntamiento de varios pueblos de la comarca su mismo partido ha hecho esto mismo.</t>
  </si>
  <si>
    <t>Penny Lane, Liverpool</t>
  </si>
  <si>
    <t>The Man Who Sold The World</t>
  </si>
  <si>
    <t>https://youtu.be/2vVFQHUT0RQ</t>
  </si>
  <si>
    <t>El periodismo en los mass media es una Fake New. Una posverdad repetida en 1.000 titulares se convierte en una línea editorial.</t>
  </si>
  <si>
    <t>Vam Aguilera</t>
  </si>
  <si>
    <t>Pablo Casado debería volver a la escuela. No a la universidad, no. Al cole. RT @iescolar: Pablo Casado dice que la exaltación del franquismo solo debería estar prohibida si es violenta, como la del comunismo</t>
  </si>
  <si>
    <t>Zaragoza, España</t>
  </si>
  <si>
    <t>Fundador y cantante de Vam Cyborg. A caballo (o en burro) entre los siglos XX y XXI. Poeta sin un poema que llevarme a la boca. -RT no implica estar de acuerdo.</t>
  </si>
  <si>
    <t>http://www.vamcyborg.com</t>
  </si>
  <si>
    <t>Luis Vicente Torregrosa Jordá</t>
  </si>
  <si>
    <t>Comparto la tesis de Casado y suscribo sus declaraciones. Pablo Casado dice que la exaltación del franquismo solo debería estar prohibida si es violenta, como la del comun...</t>
  </si>
  <si>
    <t>http://va.newsrepublic.net/s/wMTQsY</t>
  </si>
  <si>
    <t>Católico Apostólico y Romano, además Demócrata y Conservador. Casado con Elena. Estudios: Formación Profesional.</t>
  </si>
  <si>
    <t>http://facebook.com/luisvicentetor8</t>
  </si>
  <si>
    <t>Loles Ripoll</t>
  </si>
  <si>
    <t>Paterna. P.V</t>
  </si>
  <si>
    <t>Aci em pariren i aci estic</t>
  </si>
  <si>
    <t>http://compromisperpaterna.com/</t>
  </si>
  <si>
    <t>El_TylerDurden</t>
  </si>
  <si>
    <t>Las interrogantes son infinitas: ¿cuánto tiempo es el normal/dedicas al arte de cagar? ¿Llevas el móvil? ¿Tal vez un libro o revista o el cigarro para el moñeco? ¿Te daría tiempo a sacarte un máster a lo Pablo Casado? #CuentaTusMierdas 💩</t>
  </si>
  <si>
    <t>#ElClubDeLaBirra</t>
  </si>
  <si>
    <t>Perder toda esperanza es ganar la libertad. Y otras mierdas baratas parecidas. Enfermemero de noche, capullo todo el día. Hago tortitas en @ECDLMM</t>
  </si>
  <si>
    <t>https://twitter.com/el_tylerdurden</t>
  </si>
  <si>
    <t>jose antonio gomez s</t>
  </si>
  <si>
    <t>Enrique Clemente</t>
  </si>
  <si>
    <t>Otra foto de Pedro Sánchez con un dictador recibiendo un caballo. Ah no, que es el padrino de Pablo Casado...</t>
  </si>
  <si>
    <t>https://pbs.twimg.com/media/Dsn9qyeXQAISCX4.jpg</t>
  </si>
  <si>
    <t>Analista político y columnista de La Voz de Galicia en Madrid. También escribo de libros. Ex Diario 16</t>
  </si>
  <si>
    <t>Leo</t>
  </si>
  <si>
    <t>Hoy he corrido el bulo en el trabajo de que viene el viernes que viene Pablo Casado a hacer campaña por las elecciones, y ha salido super bien JAAJJA</t>
  </si>
  <si>
    <t>El sur.</t>
  </si>
  <si>
    <t>Maricón a tiempo completo. A veces viajo. Toco el piano. 'You have to pray with me'. Activismo.</t>
  </si>
  <si>
    <t>Público</t>
  </si>
  <si>
    <t>"La tesitura electoral en Andalucía se parece a una película de Michael Bay: explosiones y efectos especiales sin ton ni son para que la historia, que no te cuenta absolutamente nada, tenga un poco de gracia". Por @manutv, en @ctxt_es</t>
  </si>
  <si>
    <t>Twitter oficial del Diario Público. @Memoria_Publica @TodasPublico @pub_sinmordazas @yoanimal_p @tremending</t>
  </si>
  <si>
    <t>http://www.publico.es</t>
  </si>
  <si>
    <t>Málaga, Andalucía</t>
  </si>
  <si>
    <t>El Drapaire</t>
  </si>
  <si>
    <t>Suárez Illana, ("renovador" del PP) al parecer salió un "poquitín" más fascista aún que Pablo Casado.</t>
  </si>
  <si>
    <t>https://pbs.twimg.com/media/Dsn7juZXoAAYl2F.jpg</t>
  </si>
  <si>
    <t>"La llibertat no la tenen els que no tenen la seva set". “La libertad no la tienen los que no tienen su sed”. (Alberti)</t>
  </si>
  <si>
    <t>Francisco Clemente</t>
  </si>
  <si>
    <t>Pablo Casado, Rivera no condenan el fascismo entonces son Facistas. No opinan sobre Vox esta claro no</t>
  </si>
  <si>
    <t>https://pbs.twimg.com/media/Dsn77SVWkAEJZRR.jpg</t>
  </si>
  <si>
    <t>Lluís espinasa rovir</t>
  </si>
  <si>
    <t>Prohibido reírse 🤭.....los q llevamos lazos amarillos es pq queremos,Segundo no se lo colgamos a nadie q no quiera ....tot plegat una barreja d’ignorància i fill de putisme aquest Pablo Casado. RT @elperiodico: Pablo Casado: "Antes marcaban con estrellas amarillas, ahora con lazos"</t>
  </si>
  <si>
    <t>D'ofici soc ramader soc liberal i independentista i aficionat a las motos i fumador de pipa</t>
  </si>
  <si>
    <t>Chatarra</t>
  </si>
  <si>
    <t>Pablo Casado dice que la exaltación del franquismo solo debería estar prohibida si es violenta, como la del comunismo  vía @eldiarioes El fascismo injustificado para justificar la dictadura franquista que tenemos en españa....más democracia..</t>
  </si>
  <si>
    <t>No necesitamos más control mental. Igualdad-Libertad-Justicia. Salú.</t>
  </si>
  <si>
    <t>ABC España</t>
  </si>
  <si>
    <t>La jueza abrió diligencias por presuntos delitos de cohecho impropio y prevaricación - los mismos por los que pidió al Supremo que investigara al presidente del PP, Pablo Casado - tras una denuncia anónima que llegó al juzgado</t>
  </si>
  <si>
    <t>http://espana.abc.es/medll3</t>
  </si>
  <si>
    <t>Toda la actualidad política del panorama nacional, de mano de ABC</t>
  </si>
  <si>
    <t>http://www.abc.es</t>
  </si>
  <si>
    <t>Pablo Casado, solo condenaría el Franquismo, si hubiera actos violentos, este individuo es mas fascista que Franco y Mussolini, juntos, no reconoce los miles de asesinados por el genocida Franco</t>
  </si>
  <si>
    <t>SALUD Y REPUBLICA</t>
  </si>
  <si>
    <t>Anabel Alonso destroza a Pablo Casado en Twitter con una mofa:  vía @YouTube</t>
  </si>
  <si>
    <t>El PP ha sembrado una tormentosa República y va ha recoger una tempestad de III REPUBLICA</t>
  </si>
  <si>
    <t>He añadido un vídeo a una lista de reproducción de @YouTube ( - Anabel Alonso destroza a Pablo Casado en</t>
  </si>
  <si>
    <t>sergi</t>
  </si>
  <si>
    <t>Vaayase a la mierda @pablocasado_ Usted y todos los franquistas del @PPopular Pablo Casado dice que la exaltación del franquismo solo debería estar prohibida si es violenta, como la del comunismo  vía @eldiarioes</t>
  </si>
  <si>
    <t>.Gijón Asturias</t>
  </si>
  <si>
    <t>inmigrante e hijo de inmigrantes..orgulloso de mi familia</t>
  </si>
  <si>
    <t>JA Pérez Tapias</t>
  </si>
  <si>
    <t>Este tipo no necesita un máster, necesita el programa de Historia del bachillerato "Pablo Casado dice que la exaltación del franquismo solo debería estar prohibida si es violenta, como la del comunismo  vía @eldiarioes</t>
  </si>
  <si>
    <t>Soy díscolo y las personas de orden lo saben</t>
  </si>
  <si>
    <t>Santiago Leon Garcia</t>
  </si>
  <si>
    <t>Rivas-Vaciamadrid, España</t>
  </si>
  <si>
    <t>Sea Cortés, edúquese lo más que pueda y respete para que lo respeten</t>
  </si>
  <si>
    <t>asparuh kotsev</t>
  </si>
  <si>
    <t>https://twitter.com/NTMEP/status/1065531432980889600</t>
  </si>
  <si>
    <t xml:space="preserve">suecia </t>
  </si>
  <si>
    <t>honesto honrado con sentido de humor republicano y de izquierdas fan de Julio Anguita,y Barsa</t>
  </si>
  <si>
    <t>Carmen Carbonell</t>
  </si>
  <si>
    <t>El Sr. Pablo Casado es más tonto y no nace. Una manifestación a favor de Franco ya es violencia en sí misma. De verdad, que paren el mundo que me bajo. No me da la vida para tanta tontería!</t>
  </si>
  <si>
    <t>Sagunto</t>
  </si>
  <si>
    <t xml:space="preserve">Catalunya </t>
  </si>
  <si>
    <t>Informática con alma de escritora. Tengo 2 blogs y poco tiempo para escribir. #diabetESP http://memoriasdeunadiabetica.blogspot.com.es y http://menxucp.blogspot.com.es</t>
  </si>
  <si>
    <t>http://memoriasdeunadiabetica.blogspot.com.es/</t>
  </si>
  <si>
    <t>Julio Casarrubios</t>
  </si>
  <si>
    <t>PREGUNTA A PABLO CASADO ¿QUÉ OPINA VD. DE PODEMOS? RESPUESTA: QUE SON RADICALES Y POPULISTAS ¿QUÉ OPINA VD. DE VOX? RESPUESTA: YO NO SOY ANALISTA POLÍTICO. Pincha en este blog</t>
  </si>
  <si>
    <t>http://juliocasarrubios.blogspot.com</t>
  </si>
  <si>
    <t>https://pbs.twimg.com/media/Dsn0NLtW0AEz906.jpg</t>
  </si>
  <si>
    <t>http://juliocasarrubios.blogspot.com.es</t>
  </si>
  <si>
    <t>Josep Lluis Berlanga 🎗 2.078.008</t>
  </si>
  <si>
    <t>Pablo Casado es tan capaz de decir esta mañana en la SER que hay que ilegalizar la CUP porqué genera violencia,como de generarla el mismo,amenazando a Roger Torrent que le podía pasar lo mismo que a Companys</t>
  </si>
  <si>
    <t>Figueres, República Catalana</t>
  </si>
  <si>
    <t>barcelonés de neixament,canetenc de cor,ampurdanés d'adopció,lampista de profesió,pare de sentiment,apasionat per impuls,culer de cuna,indepe per convicció</t>
  </si>
  <si>
    <t>Elena</t>
  </si>
  <si>
    <t>Menudo impresentable😂😂😂😂😂😂😂😂😂</t>
  </si>
  <si>
    <t>https://m.eldiario.es/politica/Pablo-Casado-exaltacion-franquismo-probidida_0_838516217.html</t>
  </si>
  <si>
    <t>Castro del Río, España</t>
  </si>
  <si>
    <t>Todo lo que he perdido me ha hecho ser lo que soy ahora. ⚽🤤😍 República siempre❤️💛💜🏳️‍🌈</t>
  </si>
  <si>
    <t>cayeruby✊✊</t>
  </si>
  <si>
    <t>Pablo Casado dice que la exaltación del franquismo solo debería estar prohibida si es violenta, como la del comunismo. Queda claro o no queda claro que este memo de mierda es un facha redomado.</t>
  </si>
  <si>
    <t>Leganés, España</t>
  </si>
  <si>
    <t>#Republicano, ateo, antitaurino, activista y animalista. Hay pruebas evidentes que el ser humano creó a sus Dioses, pero ninguna que Dios creara al ser humano.</t>
  </si>
  <si>
    <t>Jorge Dioni López</t>
  </si>
  <si>
    <t>Según los expertos, su dimisión acabaría con la carrera política de Pablo Casado. RT @JoseLuis_Chover: Tras una denuncia anónima que motivó su dimisión el pasado septiembre, la Fiscalía pide archivar la causa contra Carmen Montón por su máster en la URJC  vía @elpais_espana</t>
  </si>
  <si>
    <t>https://twitter.com/JoseLuis_Chover/status/1065643907554443265
https://elpais.com/politica/2018/11/22/actualidad/1542896827_446727.html?id_externo_rsoc=TW_CC</t>
  </si>
  <si>
    <t>Leo y escribo. Tengo gafas y pelo en la cara como Luis Carandell, Vázquez Montalbán y el Gato Pérez. En Escuela @deescritores.</t>
  </si>
  <si>
    <t>http://www.jorgedioni.com</t>
  </si>
  <si>
    <t>Raúl</t>
  </si>
  <si>
    <t>Yo es que ya veo en los TT un "Pablo [Insetar apellido]" y antes de leer el apellido ya estoy pensando qué gilipollez habrá dicho Pablo Casado.</t>
  </si>
  <si>
    <t>Kaer Morhen</t>
  </si>
  <si>
    <t>Soy el que comete crímenes contra Skyrim y su pueblo. M3m3s. 29 de enero de 2019 ❤️</t>
  </si>
  <si>
    <t>http://steamcommunity.com/id/Ragor93</t>
  </si>
  <si>
    <t>りﾑ尺ズ 尺ﾑ丂</t>
  </si>
  <si>
    <t>Así habla un “demócrata”. Hay que joderse lo que son capaces algunos para recuperar a los votantes que, cada domingo, van en peregrinación al Valle de los Caidos.  vía @eldiarioes</t>
  </si>
  <si>
    <t xml:space="preserve">Dagobah. </t>
  </si>
  <si>
    <t>X-Men a tiempo parcial. Siguiendo los caminos de la Fuerza. En el límite del bien y del mal. Un gran poder conlleva...una gran diversión.</t>
  </si>
  <si>
    <t>El Discípulo @EsperanzAguirre #ParaQuéSirveLaMonarquía 👇 Pepa Bueno estalla contra Casado durante una entrevista de máxima tensión vía @elnacionalcat_e</t>
  </si>
  <si>
    <t>Javier H. C.</t>
  </si>
  <si>
    <t>A Pablo Casado @pablocasado_ no le gusta el comunismo.</t>
  </si>
  <si>
    <t>https://pbs.twimg.com/media/Dsmq9hEX4AAo6Mg.jpg</t>
  </si>
  <si>
    <t>Es simplemente despiste. Por aquí, en Madriz.</t>
  </si>
  <si>
    <t>Elextraterrestreluma</t>
  </si>
  <si>
    <t>El responsable del escupitajo ayer era un diputado de ERC, hoy es Pablo Casado y mañana, Isabel Pantoja.</t>
  </si>
  <si>
    <t>Necesitamos a personas que se preocupen de las personas, no a políticos.</t>
  </si>
  <si>
    <t>Defender_rep</t>
  </si>
  <si>
    <t>Casado, eres muuuuuu tonto ademas de muuuuucho facha.</t>
  </si>
  <si>
    <t>Republica Popular</t>
  </si>
  <si>
    <t>Ser Antifascista no es una opcion, es una obligacion de cualquier persona decente.</t>
  </si>
  <si>
    <t>JoBadajoz ☭</t>
  </si>
  <si>
    <t>Es que exaltar el franquismo es violencia</t>
  </si>
  <si>
    <t>Badajoz - Extremadura</t>
  </si>
  <si>
    <t>Si me vas a mandar a Cubazuela del Norte escríbeme un MD y te doy mi dirección para que me mandes los billetes de avión.</t>
  </si>
  <si>
    <t>Jesús Luis Vetia</t>
  </si>
  <si>
    <t>El ‘Alea iacta est’ de Pablo Casado  vía @MediterraneoDGT</t>
  </si>
  <si>
    <t>https://www.mediterraneodigital.com/opinion/columnistas-de-opinion/alejo-vidal-quadras/el-alea-iacta-est-de-pablo-casado.html</t>
  </si>
  <si>
    <t>FELINO</t>
  </si>
  <si>
    <t>Albert Rivera y Pablo Casado no han condenado al franquismo. Por una vez no han mentido. Han sido Francos.</t>
  </si>
  <si>
    <t>No somos nada.</t>
  </si>
  <si>
    <t>Una vision suarista y aznarista sobre la necesidad de un Pablo Casado con Gantt Chart y Time Management en el mundo P2P 4.0 de European Leadership</t>
  </si>
  <si>
    <t>https://www.linkedin.com/pulse/una-vision-suarista-y-aznarista-sobre-la-necesidad-de-jorge-zuazola/?published=t</t>
  </si>
  <si>
    <t>Veamos, malandrín: es el franquismo el que es intrínsecamente violento; por tanto exaltarlo es exaltar esa violencia intrínseca. Pablo Casado dice que la exaltación del franquismo solo debería estar prohibida si es violenta, como la del comunismo</t>
  </si>
  <si>
    <t>https://m.eldiario.es/31fabdf9_838516217/</t>
  </si>
  <si>
    <t>ElPeriodico.digital</t>
  </si>
  <si>
    <t>Pablo Casado asegura que Cosidó no escribió el Whatsapp sobre el control del CGPJ  noticia periodico</t>
  </si>
  <si>
    <t>http://dlvr.it/QrsSHZ</t>
  </si>
  <si>
    <t>https://pbs.twimg.com/media/DsnneKcU8AATDIH.jpg</t>
  </si>
  <si>
    <t>http://ElPeriodico.digital Periodico libre y sin censura</t>
  </si>
  <si>
    <t>¡Qué pobre!</t>
  </si>
  <si>
    <t>Tenemos un problema, Houston Pablo Casado dice que la exaltación del franquismo solo debería estar prohibida si es violenta, como la del comunismo  vía @eldiarioes</t>
  </si>
  <si>
    <t>Rosi</t>
  </si>
  <si>
    <t>Javier Escudero</t>
  </si>
  <si>
    <t>Pablo Casado dice que la exaltación del franquismo solo debería estar prohibida si es violenta, como la del comunismo ¡anda queeeeee!  vía @eldiarioes</t>
  </si>
  <si>
    <t>Plasencia</t>
  </si>
  <si>
    <t>Vicent Vercher</t>
  </si>
  <si>
    <t>Las mentiras de Pablo Casado sobre el golpe, la Gürtel o la guerra de Irak</t>
  </si>
  <si>
    <t>https://www.eldiario.es/escolar/mentiras-Pablo-Casado-Gurtel-Irak_6_828777140.html</t>
  </si>
  <si>
    <t>Vine al mundo un 4 de octubre de 1950 y continuo comprometido en cuantas cuestiones se presentan para hacer de este mundo un lugar mas habitable.</t>
  </si>
  <si>
    <t>http://vicentvercher.wordpress.com</t>
  </si>
  <si>
    <t>antoniobokeron</t>
  </si>
  <si>
    <t>Haber que dicen de esto en Europa?aqui,la ley de memoria historica se la pasan por el culo,lomismo que la constitucion.</t>
  </si>
  <si>
    <t>uno que está hasta los mismísimos de chorizos y corruptos</t>
  </si>
  <si>
    <t>EL PAÍS</t>
  </si>
  <si>
    <t>Pablo Casado y Santiago Abascal se dirigen al mismo electorado, "la España de los balcones", con mensajes más parecidos según avanza la campaña andaluza</t>
  </si>
  <si>
    <t>http://ow.ly/4vE930mItMl</t>
  </si>
  <si>
    <t>Las noticias más relevantes y la última hora, por los periodistas de EL PAÍS. Para informarse y conversar. Únete al sistema de alertas mediante mensaje directo</t>
  </si>
  <si>
    <t>http://www.elpais.com</t>
  </si>
  <si>
    <t>José Luis López</t>
  </si>
  <si>
    <t>¡Que oportunidad ha perdido Pablo Casado! Años preparándose, unos discursos vibrantes y sin papeles... y luego le falta la autoridad para dirigir "cortando la cabezas que haga falta" y decirle a Rajoy que no se reune con él públicamente porque mancha su imagen. RT @hermanntertsch: "Llevo ocho elecciones sin votar a nadie. Y voy a votar a Vox, si Dios quiere". Dicen en un vídeo unos viejos. Si consiguen que crean en ellos los que hace tiempo que no creen en nadie pueden dar una gran sorpresa.</t>
  </si>
  <si>
    <t>https://twitter.com/hermanntertsch/status/1065574317663154176</t>
  </si>
  <si>
    <t>Ingeniero Industrial experto en Informática de Gestión Empresarial. Me educaron en el espíritu emprendedor. Aragonés y por ello perseverante</t>
  </si>
  <si>
    <t>🎗Carl Von Clauswitz🎗</t>
  </si>
  <si>
    <t>Pepa Bueno estalla contra Casado durante una entrevista de máxima tensión (Compartir desde Armorfly Browser)</t>
  </si>
  <si>
    <t>ǝɹpuɐ</t>
  </si>
  <si>
    <t>Cosas inútiles: 1. Las reprobaciones en el congreso 2. Ousmane Dembele 3. El freno del coche de Benzema 4. La litera de arriba de Pablo Casado porque siempre esta ocupada por ESPAÑA 5. El abrefácil 6º va el Madrid RT @sextaNoticias: #ÚLTIMAHORA | El Congreso reprueba a la ministra Dolores Delgado con 167 votos a favor</t>
  </si>
  <si>
    <t>https://twitter.com/sextaNoticias/status/1065623469818347520
http://atres.red/924fp1</t>
  </si>
  <si>
    <t>Oleiros, Galiza.</t>
  </si>
  <si>
    <t>Antes era @AndreSisoOne. El sudor me trajo aquí. Galiza Ceive! Proxecto de xornalista na USC. Oleiros - SdC</t>
  </si>
  <si>
    <t>http://Instagram.com/andresisoone</t>
  </si>
  <si>
    <t>Begotxu</t>
  </si>
  <si>
    <t>Una duda con eso del spam electoral que me está comiendo viva: si estoy todo el puto día poniendo cosas de Pablo Casado, ¿se supone que voto al PP, ergo pondrán llenarme el email de sus chorradas? #EsPaUnaAmiga</t>
  </si>
  <si>
    <t>Serán libres... o no serán!!</t>
  </si>
  <si>
    <t>Feto Viejo ☭</t>
  </si>
  <si>
    <t>Como Pablo Casado pero con bigote. RT @thefdez: Describe a Hitler de la peor forma posible.</t>
  </si>
  <si>
    <t>https://twitter.com/thefdez/status/1065616746613227521</t>
  </si>
  <si>
    <t>Twin Peaks</t>
  </si>
  <si>
    <t>Gordo, calvo y viejo.</t>
  </si>
  <si>
    <t>José María Martínez</t>
  </si>
  <si>
    <t>EL PAÍS España</t>
  </si>
  <si>
    <t>El presidente del PP, Pablo Casado, ha reconocido este jueves que la crisis política abierta por la elección fallida del presidente del CGPJ está afectando a su partido al tiempo que ha defendido el respeto a la autonomía de los jueces</t>
  </si>
  <si>
    <t>http://ow.ly/l5eO30mIlkz</t>
  </si>
  <si>
    <t>Únete a la conversación sobre los grandes temas políticos y ciudadanos. Por la Redacción de España de EL PAÍS</t>
  </si>
  <si>
    <t>http://politica.elpais.com/</t>
  </si>
  <si>
    <t>sergio galaxy</t>
  </si>
  <si>
    <t>Jubilado</t>
  </si>
  <si>
    <t>renegado de la vida, revolucionario con las injusticias.</t>
  </si>
  <si>
    <t>Ana Robles</t>
  </si>
  <si>
    <t>Das mucho asco</t>
  </si>
  <si>
    <t>En la Luna</t>
  </si>
  <si>
    <t>https://www.facebook.com/pages/Soy-El-Mazo-Con-El-Que-Te-Dan-Antes-De-Desembarcar/462507190474848?re</t>
  </si>
  <si>
    <t>MIGUEL ANGEL</t>
  </si>
  <si>
    <t>Pablo Casado en Jaén</t>
  </si>
  <si>
    <t>https://www.youtube.com/watch?v=2uOSVO_xH8s</t>
  </si>
  <si>
    <t>ubeda</t>
  </si>
  <si>
    <t>Xiqui</t>
  </si>
  <si>
    <t>Pelea entre Pablo Casado y Albert Rivera en un supermercado ......para ver quien es mas fascista !!👇</t>
  </si>
  <si>
    <t>pic.twitter.com/KdXM1nCdgu</t>
  </si>
  <si>
    <t>Som República . No a la repressió / no presos politics . LLIBERTAT !!</t>
  </si>
  <si>
    <t>London, England</t>
  </si>
  <si>
    <t>Carmen H😜</t>
  </si>
  <si>
    <t>Me gusta un buen libro, las series de televisión, una buena película y dar largas caminatas.Vivir a tope que el tiempo es más corto de lo que parece.</t>
  </si>
  <si>
    <t>https://pbs.twimg.com/media/DsnR3sEW0AAd22W.jpg</t>
  </si>
  <si>
    <t>O sea, que si es por él, se habría consumado el pasteleo. Qué decepción, Pablo. Casado atribuye a "rivalidades" en el Gobierno el fracaso del pacto del CGPJ  vía @libertaddigital</t>
  </si>
  <si>
    <t>https://www.libertaddigital.com/espana/2018-11-22/casado-atribuye-a-rivalidades-en-el-gobierno-el-fracaso-del-pacto-del-cgpj-1276628663/</t>
  </si>
  <si>
    <t>Manuel Bort</t>
  </si>
  <si>
    <t>Mientras no se prohiba la exaltacion de la imbecilidad pablo tiene futuro😁 Pablo Casado dice que la exaltación del franquismo solo debería estar prohibida si es violenta, como la del comunismo -</t>
  </si>
  <si>
    <t>JARRYELSUSIO</t>
  </si>
  <si>
    <t>Pasajero de los sueños, orfebre de las sombras, navegante de oceanos muertos.</t>
  </si>
  <si>
    <t>M. Carmen Romero</t>
  </si>
  <si>
    <t>Pedro Sánchez reivindica a Rajoy frente a Pablo Casado tras el fiasco del CGPJ: "A su lado él era un moderado"  via @elmundoes</t>
  </si>
  <si>
    <t>https://www.elmundo.es/espana/2018/11/21/5bf52116268e3e98538b45df.html</t>
  </si>
  <si>
    <t>sergi bruguera🎗</t>
  </si>
  <si>
    <t>Pablo Casado dice que la exaltación del franquismo solo debería estar prohibida si es violenta, como la del comunismo El fascismo es violento por definición</t>
  </si>
  <si>
    <t>diseño, muebles, tendencias, from barcelona to the world, cinema, music, and all sports and... In love with Imma...;)</t>
  </si>
  <si>
    <t>Huelva, España</t>
  </si>
  <si>
    <t>chica de la curva</t>
  </si>
  <si>
    <t>mi chiste favorito es pablo casado y albert rivera metiéndose con pedro sánchez por ir a cuba mientras ellos son unos fachas de mierda</t>
  </si>
  <si>
    <t>Sevilla🌈 San</t>
  </si>
  <si>
    <t>saliendo de la estupefacción</t>
  </si>
  <si>
    <t>http://instagram.com/_chicadelacurva</t>
  </si>
  <si>
    <t>Córdoba, España</t>
  </si>
  <si>
    <t>Pepa Bueno estalla contra Casado durante una entrevista de máxima tensión | Vía @En_Blau_es</t>
  </si>
  <si>
    <t>Guillem Pujol Borràs</t>
  </si>
  <si>
    <t>¿Se puede proponer ilegalizar a Pablo Casado?  vía @eldiarioes</t>
  </si>
  <si>
    <t>Politòleg. MSc en Polítiques Europees. Doctorand en Filosofia. Editor @FinesOp. Escric i faig coses per @eldiario, @bcnmes, @CatalunyaPlural, @elnacionalcat</t>
  </si>
  <si>
    <t>http://m.eldiario.es/autores/guillem_pujol/</t>
  </si>
  <si>
    <t>עַבְדָא כְּדַברָא</t>
  </si>
  <si>
    <t>Aprovechando que ahora me leen, Pablo Casado cómeme los huevos. RT @Omicrono: Aprobada la ley que permite espiar en redes sociales para enviarnos spam</t>
  </si>
  <si>
    <t>Bernat Castro 🦊</t>
  </si>
  <si>
    <t>https://twitter.com/Omicrono/status/1065590523581353985
https://omicrono.elespanol.com/2018/11/ley-de-spam-politico-en-el-movil/</t>
  </si>
  <si>
    <t>Da schlägt es links</t>
  </si>
  <si>
    <t>Socialista, que no del PSOE. Si te molesta la difusión animal, fútbol o videojuegos mejor pasa de largo</t>
  </si>
  <si>
    <t>Barcelona - Nou Barris</t>
  </si>
  <si>
    <t>He colaborado en @RAC1, @MinoriaAB, @BenTrobats, @CatalunyaRadio y @La_SER - #Comunicación 2.0 - #Martens22 - Contacto: ber.contacto@gmail.com</t>
  </si>
  <si>
    <t>http://Instagram.com/berlustinho</t>
  </si>
  <si>
    <t>Iggggnacio</t>
  </si>
  <si>
    <t>¿Cómo es tan subnormal Pablo Casado?</t>
  </si>
  <si>
    <t>joder jodeeer</t>
  </si>
  <si>
    <t>Néstor Laso</t>
  </si>
  <si>
    <t>IVÁN DUQUE galardonado en España en los Premios Anuales 2018 de la revista política española CAMBIO 16.</t>
  </si>
  <si>
    <t>https://m.europapress.es/sociedad/noticia-cambio16-reconoce-talento-pedro-piqueras-carolina-marin-ivan-duque-pablo-casado-otros-20181120133047.html</t>
  </si>
  <si>
    <t>Abogado y Exp.en Relaciones Gubernamentales y Derecho Internacional. Otros Títulos Oficiales y Cursos Prof.Trato de ser cada día mejor profesional y ser humano.</t>
  </si>
  <si>
    <t>Joder con Pablo Casado. RT @eldiarioes: Pablo Casado condena el franquismo pero dice que su exaltación "solo debería estar prohibida si es violenta"</t>
  </si>
  <si>
    <t>Pànic Orfila</t>
  </si>
  <si>
    <t>El talante dialogante, abiertamente democrático y para nada autoritario de Pablo Casado, queda patente en una "entrevista" de Pepa Bueno. Pensar... si este especimen llega a detentar el poder... se independiza España entera!</t>
  </si>
  <si>
    <t>https://www.elplural.com/politica/tension-entre-pepa-bueno-y-casado-puedo-preguntar-ya_206832102</t>
  </si>
  <si>
    <t>pic.twitter.com/Hx57IGBhdv</t>
  </si>
  <si>
    <t>Gijón / Xixón</t>
  </si>
  <si>
    <t>Un grano no hace granero, pero ayuda al compañero. En esta nave en que vamos se necesitan remeros; el puerto es la libertad, el capitán es el Pueblo. L. Pastor</t>
  </si>
  <si>
    <t>http://palencia.cnt.es/2018/10/06/memoria-historica-la-union-de-hermanos-proletarios-uhp-la-revoluci</t>
  </si>
  <si>
    <t>Claro, master de la Juan Carlos: Pablo Casado dice que la exaltación del franquismo solo debería estar prohibida si es violenta, como la del comunismo  vía @eldiarioes</t>
  </si>
  <si>
    <t>Daniel Viñambres</t>
  </si>
  <si>
    <t>Pablo Casado es facha. RT @eldiarioes: Pablo Casado condena el franquismo pero dice que su exaltación "solo debería estar prohibida si es violenta"</t>
  </si>
  <si>
    <t>Alcorcón, España</t>
  </si>
  <si>
    <t>Si las personas son 70% agua, yo soy 70% cerveza, series y videojuegos. Soy sociólogo, escribo en @orgullogamer y hasta he sacado un libro. Pero soy gilipollas.</t>
  </si>
  <si>
    <t>https://librodepoesia.com/producto/miserias-daniel-vinambres/</t>
  </si>
  <si>
    <t>Wilmer Torres</t>
  </si>
  <si>
    <t>LA IGNORANCIA DE PABLO CASADO CAUSA REPUGNACIA, "NOSOTROS NO COLONIZÁBAMOS, HACIAMOS UNE ASPAÑA MÁS GRANDE" * Pero, ¿sabe este burrico lo que hizo Cristobal Colón en el Caribe?, ¿conoce el genocidio más...</t>
  </si>
  <si>
    <t>https://www.facebook.com/wilmer.torres.315/posts/10215615908663561</t>
  </si>
  <si>
    <t>Abogados Progresistas de España</t>
  </si>
  <si>
    <t>Jorge Botos</t>
  </si>
  <si>
    <t>Pablo Casado y con muchos parlamentarios progresistas la librería La Trampa y la posición profesional personal penitenciario lleva una villa obligada a la puerta</t>
  </si>
  <si>
    <t>El Periódico</t>
  </si>
  <si>
    <t>Susana Moreno Castil</t>
  </si>
  <si>
    <t>No puede negar lo evidente! Escuchen la entrevista!</t>
  </si>
  <si>
    <t>Información, participación y conversación con El Periódico. 🗣️Si te interesa la política, síguenos en Telegram https://telegram.me/elperiodico</t>
  </si>
  <si>
    <t>Chiclana</t>
  </si>
  <si>
    <t>Incansable ante las injusticias. Mi hija mi bandera.</t>
  </si>
  <si>
    <t>https://www.facebook.com/pages/Partido-Vecinal-Regionalista-PVRE-Chiclana/533261570044114?ref=hl</t>
  </si>
  <si>
    <t>- Pablo Casado, acaba de decir una tontería. - Y ése, de que partido és? - Te acabo de decir que acaba de decir una tontería. - Ah, perdón.</t>
  </si>
  <si>
    <t>José Soto</t>
  </si>
  <si>
    <t>No, Pablo Casado no condena el franquismo. Hoy en una entrevista dice que sí, pero ayer su partido se abstuvo de condenarlo donde de verdad importa. RT @eldiarioes: Pablo Casado condena el franquismo pero dice que su exaltación "solo debería estar prohibida si es violenta"</t>
  </si>
  <si>
    <t>Miope y canto mal. Con 17 años empujé a un niño para hacerme una foto con Mudito en Disneyland. Si lees esto, perdóname.</t>
  </si>
  <si>
    <t>Pablo Casado condena el franquismo pero dice que su exaltación "solo debería estar prohibida si es violenta"</t>
  </si>
  <si>
    <t>Paul-_-</t>
  </si>
  <si>
    <t>Jaime de los Santos, el tapado de Pablo Casado para Madrid</t>
  </si>
  <si>
    <t>https://www.moncloa.com/jaime-santos-pablo-casado-madrid/#.W_axAOu8l08.twitter</t>
  </si>
  <si>
    <t>Soy un 👽 que mira el bienestar 🌍Y #UnidosPodemos acabar con los corruptos de los partidos 💰 Soy #Repúblicano..❤️🧡💜Y defensor del pueblo📢👽🇪🇺</t>
  </si>
  <si>
    <t>Tartarus</t>
  </si>
  <si>
    <t>Hallan un cerebro vacío y un trozo de bandera de España en la cabeza de Pablo Casado al hacerse un TAC</t>
  </si>
  <si>
    <t>Professor de secundària i alumne de la vida. Reflexionant des de l'esquerra. Nosaltres el poble. Ells ja saps qui són però no som nosaltres</t>
  </si>
  <si>
    <t>@Venancio</t>
  </si>
  <si>
    <t>Cuando ha ido haciendo el ridiculo en su gira por Europa no les ha contado que esta a favor de la exaltacion de una dictadura fascista?...</t>
  </si>
  <si>
    <t>http://go.squidapp.co/n/E4KPnUn</t>
  </si>
  <si>
    <t>La libertad, amigo Sancho, es uno de los más preciosos dones que a los hombres dieron los cielos.......o los infiernos</t>
  </si>
  <si>
    <t>El tipo ese</t>
  </si>
  <si>
    <t>Pablo Casado no tiene problemas con el "franquismo pacífico" RT @NTMEP: — ¿La exaltación del franquismo debería estar prohibida? — Si es violenta, debe estar prohibida. Si no es violenta WHERE IS THE PROBLEM?</t>
  </si>
  <si>
    <t>por aqui cerquita</t>
  </si>
  <si>
    <t>nací , vacié la nevera y aquí estoy.</t>
  </si>
  <si>
    <t>Xurxo--</t>
  </si>
  <si>
    <t>Lección de historia con Pablo Casado : Hace 4500 millones d años se formó la tierra, al principio sólo había un continente ,era grandioso,se llamaba España.Unos años más tarde aparecieron unas placas tectónicas radicales e independentistas y rompieron España en varios continentes</t>
  </si>
  <si>
    <t>Galego,de esquerdas, republicano sen república,guitarrista adicto ó rock dos 70 e a os meus cans,gatos...e ao meu irmán</t>
  </si>
  <si>
    <t>el_albaluz</t>
  </si>
  <si>
    <t>Pablo Casado - experto profesional en la divulgación de 'fake news' RT @Yo_Soy_Asin: FAKE NEWS Que dice @pablocasado_ que el gobierno de España del Partido Popular ha ayudado a las familias represaliadas del franquismo desde las instituciones. Eso sí, con 0€ en 5 años de aportaciones a la ley de memoria histórica... Vean, vean 👇👇👇👇</t>
  </si>
  <si>
    <t>https://twitter.com/Yo_Soy_Asin/status/1065553345128132608</t>
  </si>
  <si>
    <t>Responsible anarchist, irreverent reverend, daydream believer of the humane soul</t>
  </si>
  <si>
    <t>Servimedia</t>
  </si>
  <si>
    <t>David©</t>
  </si>
  <si>
    <t>La cara de asqueroso con esa sonrisa ,cuando Pepa Bueno le pregunta a Pablo Casado si apoyaba a Hitler o a Mussolini y como le cambia la cara cuando le pregunta por Franco. Luego les molesta que les llamen Fachas.</t>
  </si>
  <si>
    <t>Agencia de noticias Líder en Información Social. Desde 1989 narramos la actualidad social, política y económica de España. Somos grupo social ONCE</t>
  </si>
  <si>
    <t>http://www.servimedia.es</t>
  </si>
  <si>
    <t>⚬PADRE ⚬FORZA DEPOR! 🇹🇷 🇹🇷 ⚬Seriefilo ⚬No soporto a Pablo Motos .. ⚬Alfista🇮🇹 ⚬Antimadridista ⚬Rallies ⚬AntiTuning ⚬Yo vi jugar a Maradona</t>
  </si>
  <si>
    <t>Alex</t>
  </si>
  <si>
    <t>Para Sánchez la discusión entre Rufián, el del escupitajo y Borrell se soluciona si Pablo Casado pide perdón. Decidme que este tipo no es un puto campeón.</t>
  </si>
  <si>
    <t>Elda (Alicante) España</t>
  </si>
  <si>
    <t>Programador - Desarrollador PHP Aprendiendo Laravel y un poco de C# Literatura + Cine + Música Indie</t>
  </si>
  <si>
    <t>València</t>
  </si>
  <si>
    <t>Luis del Pino</t>
  </si>
  <si>
    <t>Alucino: en vez de apuntarse la medalla de romper un pacto infame y que entregaba la mayoría del CGPJ a PSOE/Podemos…¡Pablo Casado culpa al PSOE de la ruptura del pacto! O sea, que si por él fuera, lo habría mantenido ¿¿??</t>
  </si>
  <si>
    <t>Director del programa de tertulia política Sin Complejos en http://esradio.libertaddigital.com/</t>
  </si>
  <si>
    <t>http://blogs.libertaddigital.com/enigmas-del-11-m/</t>
  </si>
  <si>
    <t>AlonsoLanzós</t>
  </si>
  <si>
    <t>Por cierto,demencial entrevista hoy en la SER a Pablo Casado. Dicen que a Pepa Bueno se le paso el arroz de estrella radiofónica y tienen razón. No se si Casado toma o bebe algo para esa locuacidad hueca que como vendedor de sartenes está bien pero no, para un político de alcance</t>
  </si>
  <si>
    <t>quien no ha caido nunca, no tiene una idea justa del esfuerzo que hay que hacer para tenerse de pié</t>
  </si>
  <si>
    <t>🌹Consuelo G. ☀️😎</t>
  </si>
  <si>
    <t>Pablo Casado dice que la exaltación del franquismo 🤮🤮🤮 solo debería estar prohibida si es violenta, como la del comunismo</t>
  </si>
  <si>
    <t>https://m.eldiario.es/politica/Pablo-Casado-exaltacion-franquismo-probidida_0_838516217.html#click=https://t.co/Om5K1PaIpV</t>
  </si>
  <si>
    <t>Huelva</t>
  </si>
  <si>
    <t>Alcorcón, Comunidad de Madrid</t>
  </si>
  <si>
    <t>Los sueños son sumamente importantes, nada se hace sin que antes se imagine</t>
  </si>
  <si>
    <t>http://Instagram.com/consu_gf</t>
  </si>
  <si>
    <t>Tarkus</t>
  </si>
  <si>
    <t>Pablo Casado "rechaza" el whatsapp del PP sobre la justicia y cree que no lo escribió Cosidó -</t>
  </si>
  <si>
    <t>http://tinyurl.com/yaz88ydy</t>
  </si>
  <si>
    <t>Taekwondista. No aguanto a los fachas = bloqueo. Republicano. PODEMOS.⛔️MD⛔️</t>
  </si>
  <si>
    <t>https://pbs.twimg.com/media/DsnBgVRW0AcBVPf.jpg</t>
  </si>
  <si>
    <t>Diario de Jerez</t>
  </si>
  <si>
    <t>Toda esta crispación, tiene nombre y apellidos, Pablo Casado, PP, cuando no gobiernan y no pueden robar, utilizan la tactica del enfrentamiento</t>
  </si>
  <si>
    <t>Jerez de la Frontera</t>
  </si>
  <si>
    <t>Diario independiente de Jerez de la Frontera.</t>
  </si>
  <si>
    <t>http://www.diariodejerez.es/</t>
  </si>
  <si>
    <t>Miguel Ángel Piedra</t>
  </si>
  <si>
    <t>Pablo Casado dice que la exaltación del franquismo solo debería estar prohibida si es violenta. A veces me pregunto si este señor no ha venido del siglo XIV en una máquina del tiempo.</t>
  </si>
  <si>
    <t>Soy Periodista en @CruzRojaEsp y Profesor de Comunicación y Gestión de la Imagen en la Universidad Rey Juan Carlos. Y bueno, a ratos youtuber.</t>
  </si>
  <si>
    <t>https://www.youtube.com/pirawetv?sub_confirmation=1</t>
  </si>
  <si>
    <t>albert Rivera y pablo casado como van a condenar al Frankismo y al fascismo si AMBOS REPITO AMBOS SON FRANKISTAS Y FASCISTAS.</t>
  </si>
  <si>
    <t>Jesús Jiménez</t>
  </si>
  <si>
    <t>Osea, se puede hacer apología del fascismo genocida, con cientos de miles de asesinados y exiliados, mientras cagarse en Dios es delito. Pablo Casado dice que la exaltación del franquismo solo debería estar prohibida si es violenta, como la del comunismo -</t>
  </si>
  <si>
    <t>https://www.facebook.com/abogadoabogado.es/videos/362348344335974/</t>
  </si>
  <si>
    <t>Pablo Casado sobre la oposición venezolana: "Todos aquellos que están luchando por nuestras libertades, también las nuestras, al otro lado del Atlántico merecen nuestro reconocimiento"</t>
  </si>
  <si>
    <t>http://bit.ly/2QYVn8P</t>
  </si>
  <si>
    <t>https://pbs.twimg.com/media/Dsm9Wk8WwAIMSQI.jpg</t>
  </si>
  <si>
    <t>ricardo berjon</t>
  </si>
  <si>
    <t>leon</t>
  </si>
  <si>
    <t>Soy el aliento anhelante de la vida. El infierno y perdicion de la muerte. No prestéis con interés, sino dádselo a aquel que no va a poder devolverlo.</t>
  </si>
  <si>
    <t>βei</t>
  </si>
  <si>
    <t>¿Alguna vez conociste a una celebridad? — a pablo casado cuando le raye el coche con las llaves</t>
  </si>
  <si>
    <t>https://curiouscat.me/escuchame_una_cosa/post/713771377?t=1542891574</t>
  </si>
  <si>
    <t>René Descartes, también llamado Renatus Cartesius, fue uno de los Uchiha más poderosos estando casi al nivel de Uchiha Madara</t>
  </si>
  <si>
    <t>http://curiouscat.me/escuchame_una_cosa</t>
  </si>
  <si>
    <t>soc_nou</t>
  </si>
  <si>
    <t>Oskar Rueda Puertas</t>
  </si>
  <si>
    <t>Recordáis cuando ellxs pedían a la IA q condenara a ETA? No resulta un tanto ridículo? Si tenemos en cuenta q la dictadura de Franco mató en 40 años alrededor de 150 mil personas y ETA no llegó a mil en el mismo período, creo q sí. Fascismo 2.0</t>
  </si>
  <si>
    <t>el mundo</t>
  </si>
  <si>
    <t>CIS: Corrupción 2° problema para lxs españolxs pero en elecciones el partido más votado sigue siendo el Partido Podrido luego les preocupa xq hay poca</t>
  </si>
  <si>
    <t>XXXIX CongresoSEMI</t>
  </si>
  <si>
    <t>#39SEMI No te pierdas la Mesa Redonda 24: "Diabetes e insuficiencia cardiaca" Participan el Dr. Josep Redón Mas y el Dr. Pedro Pablo Casado Escribano @Diabetes_SEMI #IC #DM #DM2 #diabetESP #SEMITuit</t>
  </si>
  <si>
    <t>https://pbs.twimg.com/media/DshXoxNUUAAn0MW.jpg</t>
  </si>
  <si>
    <t>Congreso de la Sociedad Española de Medicina Interna. El XXXIX Congreso Nacional de la SEMI será del 21 al 23 de noviembre 2018 en Burgos #39SEMI #SEMITuit</t>
  </si>
  <si>
    <t>http://www.congresosemi.org/</t>
  </si>
  <si>
    <t>https://pbs.twimg.com/media/Dsl7nsSUUAECU-9.jpg</t>
  </si>
  <si>
    <t>https://www.facebook.com/abogadoabogado.es/videos/2209191442627904/</t>
  </si>
  <si>
    <t>tio chabó #StopTTIP ❤️💛💜</t>
  </si>
  <si>
    <t>https://ift.tt/2r1GQxI</t>
  </si>
  <si>
    <t>Burujon (Toledo)</t>
  </si>
  <si>
    <t>Luchando dia a dia contra el mal humor, republicano, de izquiedas y soñador. Te informo de lo que pasa diariamente. !!Salud y Republica!!......☭☭☭</t>
  </si>
  <si>
    <t>http://paper.li/lobo_solito/1343408781</t>
  </si>
  <si>
    <t>ennedantas</t>
  </si>
  <si>
    <t>Bueno el PABLO casado, de momento esta excluido de la presidencia de ESPAÑA, y todo CUANTO SEA PABLOS.</t>
  </si>
  <si>
    <t>ESTO VA DE POLITICA, CIENCIA, PERIODISMO, RELIGIONES, LA PARACIENCIA, Y EL SÉPTIMO ARTE. SI TE GUSTA ESTO... FOLLOW ME!!!... LET`S GO...</t>
  </si>
  <si>
    <t>Victor Leonardi B.</t>
  </si>
  <si>
    <t>Madre mía: Esto es fake? Pablo Casado dice que la exaltación del franquismo solo debería estar prohibida si es violenta, como la del comunismo  vía @eldiarioes</t>
  </si>
  <si>
    <t xml:space="preserve">Sant Quirze del Vallès </t>
  </si>
  <si>
    <t>Archimedes : Give me a lever and a place to stand and I will move the earth. ➡️My opinions are personal. Bolsa /Trading / Marketing / Investments /Traders</t>
  </si>
  <si>
    <t>https://www.flickr.com/photos/102912567@N06/</t>
  </si>
  <si>
    <t>Cadena SER</t>
  </si>
  <si>
    <t>Pablo Casado culpa al Gobierno de dinamitar el acuerdo político sobre el CGPJ por por "rivalidades internas"</t>
  </si>
  <si>
    <t>http://cadenaser.com/programa/2018/11/21/hoy_por_hoy/1542803484_524062.html</t>
  </si>
  <si>
    <t>Cuenta con la SER. Pase lo que pase.</t>
  </si>
  <si>
    <t>http://cadenaser.com/</t>
  </si>
  <si>
    <t>AurynPlay</t>
  </si>
  <si>
    <t>Y Pablo Casado ganará cada debate, cada tertulia y cada momento de charla de su vida siendo un maleducado que no deja hablar y que te desvía de la pregunta. Es triste que esto sea lo que hoy se considera un buen político.</t>
  </si>
  <si>
    <t>https://twitter.com/PPopular/status/1065179372133335040</t>
  </si>
  <si>
    <t>https://pbs.twimg.com/media/DshG_RRUcAARW40.jpg</t>
  </si>
  <si>
    <t>Murcia, Senegal</t>
  </si>
  <si>
    <t>Soy una simulación en diferido. Parodia de mí.</t>
  </si>
  <si>
    <t>Juan Carlos Martin</t>
  </si>
  <si>
    <t>Cada día se le ve más la patita negra 👿</t>
  </si>
  <si>
    <t>getafe,madrid,españa</t>
  </si>
  <si>
    <t>naci en caceres, a los 3 años vine a madrid, niñez normal, con cariño pero sin recursos, sobrevivo de mi esfuerzo,2 hijos,ideologia de izquierdas.no creyente.</t>
  </si>
  <si>
    <t>RojoFeoIzquierdo</t>
  </si>
  <si>
    <t>Pablo Casado, el hombre que cobra 1.842 euros en dietas por ser diputado por Ávila pero que vive y vota en Madrid. Así nos va, permitiendo tanto ladrón</t>
  </si>
  <si>
    <t>Donde hay poca justicia, es un peligro tener razón. El fuero para el gran ladrón, la cárcel para el que roba un pan. La peor justicia, es la justicia simulada</t>
  </si>
  <si>
    <t>Joan Galera Nascut l'11 Setembre</t>
  </si>
  <si>
    <t>El neolenguaje de @pablocasado RebuAZNAR 👇</t>
  </si>
  <si>
    <t>La Canonja, Tarragona</t>
  </si>
  <si>
    <t>Soy estibador, catalán, sindicalista y de izquierdas. Casi nada!!! Ah...y canongí. Luchando por un país justo y decente. Abstenerse fachas y/o corruptos</t>
  </si>
  <si>
    <t>q son organizaciones comunistas y populistas para Pablo Casado?UP ERC IU ......joder q bien te vendria ehh...pues no condenes al franquismo ...PP ES FRANQUISMO Y FASCISMO!!!!!! RT @agvozme: El PP pide la ilegalización de organizaciones "comunistas y populistas" como requisito para condenar el franquismo  vía @eldiarioes</t>
  </si>
  <si>
    <t>https://twitter.com/agvozme/status/1065576066171965440
https://m.eldiario.es/_31f0145a</t>
  </si>
  <si>
    <t>https://www.libertaddigital.com/espana/2018-11-21/pedro-sanchez-pide-a-casado-y-rufian-que-pidan-discupas-por-el-escupitajo-de-erc-a-borell-1276628638/</t>
  </si>
  <si>
    <t>Según Pablo Casado hay que ilegalizar a todos los partidos políticos excepto al Partido Popular, C's, VOX, UPN, Falange Española, Foro Asturias y Democracia NAZIonal. Y VIVA FRANCO; DIGO EL REY....</t>
  </si>
  <si>
    <t>sílvia grumaches</t>
  </si>
  <si>
    <t>Pablo Casado NO SE ENTERA RT @iescolar: Pablo Casado dice que la exaltación del franquismo solo debería estar prohibida si es violenta, como la del comunismo</t>
  </si>
  <si>
    <t>barcelona</t>
  </si>
  <si>
    <t>sílvia || spa.RK - http://sparkreleases.com || eufònic -http://eufonic.net || D’A Film Festival Barcelona http://dafilmfestival.com</t>
  </si>
  <si>
    <t>http://www.sparkreleases.com</t>
  </si>
  <si>
    <t>EuropaPress Congreso</t>
  </si>
  <si>
    <t>Pablo Casado confirma que no fue Cosidó quien escribió el #whatsapp sobre el "control" del #CGPJ, pero tampoco buscará más en el PP al autor de ese mensaje que provocó la renuncia de Marchena y la ruptura del pacto: "No me importa porque lo rechazo igual"</t>
  </si>
  <si>
    <t>https://www.europapress.es/nacional/noticia-casado-no-cree-cosido-escribiera-whatsapp-desconoce-quien-hizo-no-me-importa-porque-rechazo-igual-20181122095547.html</t>
  </si>
  <si>
    <t>Cuenta oficial de la agencia de noticias Europa Press en el Congreso</t>
  </si>
  <si>
    <t>http://www.europapress.es</t>
  </si>
  <si>
    <t>Super Gordipé 🥄</t>
  </si>
  <si>
    <t>Diría que es difícil ser más IMBÉCIL pero para esta persona el cielo es el límite.</t>
  </si>
  <si>
    <t>http://cadenaser.com/programa/2018/11/21/hoy_por_hoy/1542803484_524062.html?ssm=tw-hxh</t>
  </si>
  <si>
    <t>Tuitera costumbrista, tiarista, horchatista, SINCEBOLLISTA, comunal, turgente y supersimpática. No sé hacer cloquetas.</t>
  </si>
  <si>
    <t>http://eltitulodehoyes.blogspot.com.es/</t>
  </si>
  <si>
    <t>Manuel Corona</t>
  </si>
  <si>
    <t>La escusa para seguir apoyando al franquismo. Menudo presidente que tiene el PP. De mal en peor.</t>
  </si>
  <si>
    <t>https://pbs.twimg.com/media/Dsl9FXiVsAAQAWN.jpg</t>
  </si>
  <si>
    <t>Gelves</t>
  </si>
  <si>
    <t>NO al TTIP</t>
  </si>
  <si>
    <t>Cada día se hace más necesaria la III República. Menos banderas y más lucha obrera.</t>
  </si>
  <si>
    <t>MANEL ALVAREZ</t>
  </si>
  <si>
    <t>Las 20 frases más surrealistas de Pablo casado  vía @cataladigitalok</t>
  </si>
  <si>
    <t>http://cataladigital.cat/2018/11/21/las-20-frases-mas-surrealistas-de-pablo-casado/</t>
  </si>
  <si>
    <t>intentando emprender siempre !!</t>
  </si>
  <si>
    <t>Daniel Velasco ™</t>
  </si>
  <si>
    <t>"A las pruebas me remito." #AhiLoDejo  RT @velasco_dani: El paso previo era "controlar" la sala segunda y ahora crear la condición política para legislar y que la justicia "controlada" actúe según "sus" criterios? CC: @boye_g @eyndePenal @JaumeAlonsoCuev BCC: @FAQSTV3 @RaholaOficial @jordibaste @JonInarritu @KRLS</t>
  </si>
  <si>
    <t>https://www.elnacional.cat/ca/politica/pablo-casado-illegalitzacio-cup-arran_327270_102_amp.html?__twitter_impression=true
https://twitter.com/velasco_dani/status/1065248253074202624</t>
  </si>
  <si>
    <t>https://pbs.twimg.com/media/DsiFolZWoAElW8O.jpg</t>
  </si>
  <si>
    <t>Son, Brother, Father, Husband, Geek, Entrepreneur, Tweets are mine, RT not. Let's keep this place clean &amp; tidy.</t>
  </si>
  <si>
    <t>http://www.danielvelasco.net</t>
  </si>
  <si>
    <t>El Plural</t>
  </si>
  <si>
    <t>Jaime de los Santos, un fuerte representante del colectivo LGTBI, tuvo como 'madrina' a Cifuentes</t>
  </si>
  <si>
    <t>La actualidad #política que estabas buscando. ¡Bienvenido a #ElPlural! También estamos en Facebook: https://es-es.facebook.com/elpluralcom/</t>
  </si>
  <si>
    <t>http://www.elplural.com</t>
  </si>
  <si>
    <t>Alex Garcia</t>
  </si>
  <si>
    <t>Podemos llamar sin tapujos Franquista y Fascista a Pablo Casado? O todavía no RT @iescolar: Pablo Casado dice que la exaltación del franquismo solo debería estar prohibida si es violenta, como la del comunismo</t>
  </si>
  <si>
    <t>Me interesa todo lo relacionado con el mundo de las tecnologías de la información. Java, Spring, API, Microservices, Javascript, JQuery, Code Quality, CI.</t>
  </si>
  <si>
    <t>Jaime de los Santos, el tapado de Pablo Casado para MadridEl consejero madrileño de Cultura está en la lista de posibles candidatos al ayuntamiento.Casado recibió a De los Santos hace dos meses en su despacho de  'madrina' política fue Cifuentes @PPopular</t>
  </si>
  <si>
    <t>http://xn--gnova-bsa.Su</t>
  </si>
  <si>
    <t>https://pbs.twimg.com/media/Dsm1FdHWkAEhLvN.jpg</t>
  </si>
  <si>
    <t>Jordi Cornet 🎗️</t>
  </si>
  <si>
    <t>Estan enfermos de poder + indigencia cultural/ética. Son capaces de tolerar, aceptar, blanquear y empoderar a fascistas, ultraderecha y a la peor escoria existente con tal que les voten #Fascismo</t>
  </si>
  <si>
    <t>#Bibliotecari #Documentalista i #DungeonMaster de #Barcelona. Videojocs, rol i gats. #Librarian, Information analyst, videogames enthusiastic. Cat lover.</t>
  </si>
  <si>
    <t>http://jordicornet.cat</t>
  </si>
  <si>
    <t>JESS</t>
  </si>
  <si>
    <t>La próxima vez que le pidan condenar el fascismo, Pablo Casado exigirá que, previamente, haya que realizar un triple salto mortal con doble tirabuzón en una piscina sin agua.</t>
  </si>
  <si>
    <t>De la submeseta sur. Me gusta doblar esquinas: nunca sabes lo que te vas a encontrar.</t>
  </si>
  <si>
    <t>Frame Comunicación</t>
  </si>
  <si>
    <t>Cambio 16 reconoce el talento de Pedro Piqueras 👉 #FrameComunicación #Noticias #Actualidad</t>
  </si>
  <si>
    <t>https://www.lavanguardia.com/vida/20181120/453067092739/cambio16-reconoce-el-talento-de-pedro-piqueras-carolina-marin-ivan-duque-y-pablo-casado-entre-otros.html</t>
  </si>
  <si>
    <t>Representación de periodistas y presentadores con el máximo nivel de notoriedad, formación en comunicación pública y de portavoces, comunicación y publicidad.</t>
  </si>
  <si>
    <t>http://www.framecomunicacion.com</t>
  </si>
  <si>
    <t>Lion King</t>
  </si>
  <si>
    <t>Al rojo vivo. La sexta TV. Si no fuera por que Pablo Casado y Albert Rivera son ya mayorcitos, diría que siguen creyendo en los Reyes Magos.</t>
  </si>
  <si>
    <t>Emérito</t>
  </si>
  <si>
    <t>No es que no estemos entendiendo los ridículos contínuos de un fascista como Pablo Casado, lo que no parecemos ser capaces de calcular es que da literalmente igual las imbecilidades que rebuzne, su público sonríe y aplaude.</t>
  </si>
  <si>
    <t>Islas Baleares, España</t>
  </si>
  <si>
    <t>Un anticomunista es un perro. "I found out living is the best Revenge" The Cynics. Me cago en dios, alá, el judaísmo, el hinduismo, buda y el animismo.</t>
  </si>
  <si>
    <t>Brais Rodríguez</t>
  </si>
  <si>
    <t>Ahora es cuando salen Albert Rivera y Pablo Casado a decir eso de: "Yo quiero parecerme a Alemania 🇩🇪🇩🇪🇩🇪 y no a Venezuela 🇻🇪🇻🇪🇻🇪." @revistamongolia @AntonioMaestre @El_Plural @pardodevera @protestona1</t>
  </si>
  <si>
    <t>https://pbs.twimg.com/media/DsmyUi4XQAAPYyG.jpg</t>
  </si>
  <si>
    <t>Europa 🇪🇺🇪🇺🇪🇺</t>
  </si>
  <si>
    <t>Emperador del Sacro Imperio Romano Germánico 🇩🇪🇩🇪🇩🇪.</t>
  </si>
  <si>
    <t>Jorge Gorrochategui Ruiz</t>
  </si>
  <si>
    <t>Hoy incluso más que nunca, ha sido tal el placer el escuchar a @PepaBueno intentar sacar algo de un político tan esquivo, ambiguo e incoherente como Pablo Casado... Las mañanas con Pepa son más mañanas, mejorez mañanas el suyo beneficio político. @HoyPorHoy RT @ElHuffPost: Tensión entre Pepa Bueno y Pablo Casado: "Desde Esperanza Aguirre no he tenido tantas dificultades para hacer preguntas"</t>
  </si>
  <si>
    <t>https://twitter.com/ElHuffPost/status/1065571759435452416
https://www.huffingtonpost.es/2018/11/22/tension-entre-pepa-bueno-y-pablo-casado-desde-esperanza-aguirre-no-he-tenido-tantas-dificultades-para-hacer-preguntas_a_23596803/</t>
  </si>
  <si>
    <t>https://pbs.twimg.com/media/Dsmr2hbXgAAg_bB.jpg</t>
  </si>
  <si>
    <t>París, Francia</t>
  </si>
  <si>
    <t>Uno que hacía radio a la vez que ingeniaba y que ahora solo ingenia pero en Paris. La vida es la suma de familia, amigos, series, pelis, política y hormigón.</t>
  </si>
  <si>
    <t>Fernando Bonete</t>
  </si>
  <si>
    <t>Es un auténtico lujo, un honor contar para el primer pódcast de #historia de @eldebatedehoy con Juan Pablo Fusi para hablar de "Historia mínima de España" #libros Gracias @pablo_casado y @carlosghh por vuestra gran ayuda e implicación</t>
  </si>
  <si>
    <t>https://pbs.twimg.com/media/DsmyDDIWwAAxrVz.jpg</t>
  </si>
  <si>
    <t>Director de @eldebatedehoy. Profesor de Comunicación Digital en @USPCEU.</t>
  </si>
  <si>
    <t>Gran Canaria</t>
  </si>
  <si>
    <t>BandidoPopular 💜</t>
  </si>
  <si>
    <t>Abogado del ICAM. Me gusta la Naturaleza, el arte, viajar y amar. Inconformista esperanzado. Mis valores: libertad, justicia e igualdad. Conquistamos #DDHH.</t>
  </si>
  <si>
    <t>"Creo que Cosidó no escribió el mensaje, yo le pedí explicaciones y me dijo que lo sentía, que fue una irresponsabilidad reenviar ese mensaje".</t>
  </si>
  <si>
    <t>https://www.huffingtonpost.es/2018/11/22/pablo-casado-rechaza-el-whatsapp-sobre-los-jueces-y-cree-que-no-lo-escribio-cosido_a_23596700/?utm_hp_ref=es-homepage</t>
  </si>
  <si>
    <t>HINOJOS</t>
  </si>
  <si>
    <t>Pablo Casado ratifica al ex ministro Rafael Catalá tras el fiasco del CGPJ  vía @elmundoes</t>
  </si>
  <si>
    <t>En España</t>
  </si>
  <si>
    <t>He vivido intensamente 78 años dedicados a mi familia y a mi país y sigo con la intención de disfrutar de lo mismo.</t>
  </si>
  <si>
    <t>Alberto Gómez</t>
  </si>
  <si>
    <t>Dice Pablo Casado que la exaltación del terrorismo soloo debería estar prohibida si es violenta. Perdón, del franquismo, que me lío. Qué país.</t>
  </si>
  <si>
    <t>Escritor y periodista. Editor en @edcarpenoctem y @seuratediciones. Director en @Comunicaymas. Insomne</t>
  </si>
  <si>
    <t>http://www.albertogomezvaquero.es</t>
  </si>
  <si>
    <t>🇧🇪 CDR Léo Taxil 🇧🇪</t>
  </si>
  <si>
    <t>Si Pablo Casado pot dir 'Nosotros no colonizabamos, haciamos una España más grande' dóna peu que Santi Potros repliqui 'Nosotros no matabamos, haciamos una Euskadi más grande' i tothom així de callar.</t>
  </si>
  <si>
    <t>Catalunya. Flandes</t>
  </si>
  <si>
    <t>X distant. Abandonat per l'inconscient i idiota de l'escola svejkiana. Rebel amb causa. La gran novel·la catalana http://lagrannovelacatalana.wordpress.com</t>
  </si>
  <si>
    <t>https://leotaxil.wordpress.com/</t>
  </si>
  <si>
    <t>He puesto la SER de @PepaBueno y ha dicho entrevista a Pablo Casado. Y he pensado -¿Por qué creo que este señor no tiene nada importante que decirme? He quitado Hoy por Hoy.</t>
  </si>
  <si>
    <t>Hoy por hoy</t>
  </si>
  <si>
    <t>El programa líder de la radio española. De lunes a viernes, de 6:00 a 12:20h, en @La_SER. Dirigido por @PepaBueno y Toni @GarridoCoronado.</t>
  </si>
  <si>
    <t>http://www.hoyporhoy.es</t>
  </si>
  <si>
    <t>mariano molina</t>
  </si>
  <si>
    <t>Andrés Costela</t>
  </si>
  <si>
    <t>aranjuez</t>
  </si>
  <si>
    <t>Un obrero prejubilado de telefónica, comunista hasta la muerte.</t>
  </si>
  <si>
    <t>Galicia ao lonxe dende Alacant</t>
  </si>
  <si>
    <t>#NoTTIP Soy gallego. Ni no sabes si subo o bajo, te doy pistas: Si me ves el culo, subo; si me ves el cogote, bajo.</t>
  </si>
  <si>
    <t>Pablo Casado dice que la exaltación del franquismo solo debería estar prohibida si es violenta, como la del comunismo , en tendencia viral desde November 22, 2018 at 12:02PM</t>
  </si>
  <si>
    <t>http://bit.ly/2QeP6bV</t>
  </si>
  <si>
    <t>https://www.veoinfo.com/pablo-casado-dice-que-la-exaltacion-del-franquismo-solo-deberia-estar-prohibida-si-es-violenta-como-la-del-comunismo/</t>
  </si>
  <si>
    <t>https://pbs.twimg.com/media/Dsmu9baV4AAWjVU.jpg</t>
  </si>
  <si>
    <t>moncho</t>
  </si>
  <si>
    <t>Pablo Casado dice que la exaltación del franquismo solo debería estar prohibida si es violenta, como la del comunismo  vía @eldiarioes MAS CLARO EL AGUA</t>
  </si>
  <si>
    <t>CORAZON A LA IZQUIERDA SANGRE ROJA SENTIMIENTO BLANQUIAZUL</t>
  </si>
  <si>
    <t>paloma armenteros</t>
  </si>
  <si>
    <t>Pablo Casado, destilando cinismo, afirma en @HoyPorHoy que el Estado ha gastado miles de millones en ayudas a las víctimas del franquismo y que han contado con el impulso del Estado para buscar a sus fallecidos. @PepaBueno lo deja pasar sin discutirlo. Es el nivel periodístico.</t>
  </si>
  <si>
    <t>Esto pasa cuando una carrera y máster se sacan en poco tiempo 🤣🤣🤣</t>
  </si>
  <si>
    <t>JP.Galindo</t>
  </si>
  <si>
    <t>A Pablo Casado le falta un punto más de estimación de voto para VOX para salir con camisa azul y bandera falangista. Se agradece su sinceridad. PD: El PCE no reivindica a Stalin porque ha renunciado desde hace 50 años a la lucha de clases</t>
  </si>
  <si>
    <t>Móstoles</t>
  </si>
  <si>
    <t>Animal político. La revolución no es posible, es necesaria. Todo lo que diga podrá ser usado en mi contra. Marxista-leninista y por eso, del PCE (m-l)</t>
  </si>
  <si>
    <t>Vicente Valls</t>
  </si>
  <si>
    <t>Pablo Casado no solo vio un escupitajo invisible al mentiroso de Borrell sino que se inventa que escupió a toda España</t>
  </si>
  <si>
    <t>odio la indiferencia y la intolerancia dos males que se estienden</t>
  </si>
  <si>
    <t>Mercè Serrano</t>
  </si>
  <si>
    <t>La justicia ordena a la Xunta que le entregue los papeles secretos de las cajas | Galicia | EL PAÍS . 🔵 Y seguimos avanzando en #corruPPción y como no, del @PPopular. De q presume Pablo Casado si no existe 1rincón d dignidad en su partido?? (Supuestamente)</t>
  </si>
  <si>
    <t>https://elpais.com/ccaa/2018/11/20/galicia/1542732671_186130.html</t>
  </si>
  <si>
    <t>De Izquierdas. Solidaria. Republicana. Comprometida con el Medio Ambiente.</t>
  </si>
  <si>
    <t>Nando Cruz</t>
  </si>
  <si>
    <t>Personalmente simpatizo con la República como modelo de Jefatura de Estado, ahora bien, si esa hipotética República viene impulsada y jaleada por Podemos no tengo ningún problema en decir ¡VIVA EL REY! cual Pablo Casado un martes cualquiera nada más levantarse.</t>
  </si>
  <si>
    <t>Animalista verhoeveniano y cafeinómano declarado. Ellen Ripley como modelo a seguir. Sueño con aparecer en el top anual de John Waters. Cher me firmó Silkwood.</t>
  </si>
  <si>
    <t>poletegi35</t>
  </si>
  <si>
    <t>Pablo Casado dice que la exaltación del franquismo solo debería estar prohibida si es violenta, como la del comunismo. Aquí un puto facha de mierda!!</t>
  </si>
  <si>
    <t>El mundo se divide entre indignos e indignados...hasta que los primeros no cambien, seguire siendo de los segundos, y somos legión...os aviso!</t>
  </si>
  <si>
    <t>Ayer Albert Rivera evitaba catalogar a VOX como extrema derecha, hoy Pablo Casado evita condenar el Franquismo, muy buenos cortes de @enjakeETB por parte de @Xlapitz. #EnJakeETB</t>
  </si>
  <si>
    <t>pic.twitter.com/a331IEKjSC</t>
  </si>
  <si>
    <t>Berta García Bilbao</t>
  </si>
  <si>
    <t>Un vaso medio vacío de vino es también uno medio lleno, pero una mentira a medias, de ningún modo es una media verdad</t>
  </si>
  <si>
    <t>Pepe Tron. República i EFTA,Tram 1</t>
  </si>
  <si>
    <t>Residència definitiva a Sant Esteve de les Roures, Terres de l'Ebre.</t>
  </si>
  <si>
    <t>http://shadowban.eu Teniu per segur, que si veig que al vostre perfil esta escrit que sou CataÑols o Cagarnians, no us seguiré. Bloc. Ubicació Aspaña? Jo no.</t>
  </si>
  <si>
    <t>http://s215.photobucket.com/user/falcata_cota35/library/?sort=9&amp;page=1</t>
  </si>
  <si>
    <t>Isabel Ríos 🇪🇸</t>
  </si>
  <si>
    <t>#Impuestos #IAJD 💸 Pablo Casado promete eliminar el impuesto de Actos Jurídicos Documentados</t>
  </si>
  <si>
    <t>https://okdiario.com/espana/2018/11/07/pablo-casado-promete-eliminar-impuesto-actos-juridicos-documentados-3321574/amp</t>
  </si>
  <si>
    <t>Lic. Derecho. Dip. Liturgia. Católica. Soltera.</t>
  </si>
  <si>
    <t>Nil AG 🎗🇧🇪 🇨🇭 🇩🇪 🏴󠁧󠁢󠁳󠁣󠁴󠁿</t>
  </si>
  <si>
    <t>Denunciado el Fiscal que pidió el archivo del caso Máster de Pablo Casado  via diario_16</t>
  </si>
  <si>
    <t>República de Catalunya, EU.</t>
  </si>
  <si>
    <t>Animalista, català ex independentista i ciutadà de la República de Catalunya. Visca Catalunya!!! *Gràcies per seguir-me!*</t>
  </si>
  <si>
    <t>Camaraldo</t>
  </si>
  <si>
    <t>No sé si compite por el voto de VOX o quiere quitarle el puesto de cuñado a Albert Rivera Pablo Casado dice que la exaltación del franquismo solo debería estar prohibida si es violenta, como la del comunismo -</t>
  </si>
  <si>
    <t>España, Fondo de Bikini</t>
  </si>
  <si>
    <t>Falso autónomo en el Crustáceo Crujiente. Jornada de 8 horas al día por 700€ mensuales. Mi jefe se lleva el dinero a Panamá. Aún así sigo defendiendo el sistema</t>
  </si>
  <si>
    <t>🎗🎗🎗EL EQUIPO A 🎗🎗🎗</t>
  </si>
  <si>
    <t>AQUI EN ESPAÑA LOS ÚNICOS QUE CRISPAN ES LA EXTREMA DERECHA FACISTA DEL PP CON PABLO CASADO A LA CABEZA</t>
  </si>
  <si>
    <t>🎗🎗🎗💜💛💜SI TIENE USTED UN PROBLEMA Y LOS ENCUENTRA QUIZA PUEDA CONTRATARLOS💜💛💜✊✊✊😂🎗🎗🎗</t>
  </si>
  <si>
    <t>Aalegre  🦄🌈</t>
  </si>
  <si>
    <t>Se me ha ocurrido una idea como evolución al chiste de "van dos y se cae el del medio": "Van Pablo Casado y Albert Rivera, y se cae el de derechas" Pido disculpas por adelantado, llevo una semana con la cabeza muy densa...</t>
  </si>
  <si>
    <t>Debajo de mi escritorio.</t>
  </si>
  <si>
    <t>Jovencita confusa / paralepípedo. Con cambios de humor. Estudiando en ENTI y trabajando al mismo tiempo porque pensé que sería buena idea. L[G]BT</t>
  </si>
  <si>
    <t>Francisco Pardeiro</t>
  </si>
  <si>
    <t>Pablo Casado dice que la exaltación del franquismo solo debería estar prohibida si es violenta, como la del comunismo Está clase de políticos.... 😂😂😂😂😂😂😂😂😂😂😂😂</t>
  </si>
  <si>
    <t>ISPAÑINHA</t>
  </si>
  <si>
    <t>Perdona a tus enemigos, pero no olvides nunca sus nombres.. Libertad, fraternidad y igualdad. Fabricante de Papel Higiénico. Voy ser Radical a veces</t>
  </si>
  <si>
    <t>Felix Elias Tavarez</t>
  </si>
  <si>
    <t>Para fraseando a Pablo Casado.. @DaniloMedina y el PLD merecen ir a la oposición antes de seguir arruinando a República Dominicana , deje de usar las instituciones en su beneficio, tenga sentido de Estado.</t>
  </si>
  <si>
    <t>Moncloa.com</t>
  </si>
  <si>
    <t>EXCLUSIVA en @Moncloa_com / Jaime de los Santos, el tapado de @pablocasado_ para Madrid @DELOSSANTOSLEAL @PPopular</t>
  </si>
  <si>
    <t>Anna</t>
  </si>
  <si>
    <t>PABLO CASADO QUE SINVERGÜENZA ERES, LO PEOR ES QUE TE CREE QUE LOS ESPAÑOLES SOMOS TONTOS,MIEDOSOS,Y ESCLAVOS RT @JoanQueralt: Las estrellas de David se las ponían A LA FUERZA los nazis a los judíos. Ese franquismo, que Casado no condena, fue su cómplice. Los lazos amarillos se los pone LIBREMENTE la gente para protestar por la prisión sin base legal de sus líderes. Esto no es de máster: es de EGB</t>
  </si>
  <si>
    <t>Política, poder, pasión. La cuenta atrás ha empezado.</t>
  </si>
  <si>
    <t>https://www.moncloa.com/</t>
  </si>
  <si>
    <t>de Barcelona 1960,un HIJO Víctor Carranza Mena</t>
  </si>
  <si>
    <t>Noa VG</t>
  </si>
  <si>
    <t>Esta noche he soñado que estaba saliendo con Pablo Casado. Era un intelectual con conciencia de clase y daba gusto hablar con él. Se quejaba del estigma que tenía por ser del PP. Desde aquí hago un llamamiento a mi subconsciente: NO ME GUSTAS.</t>
  </si>
  <si>
    <t>La Extremadura rural</t>
  </si>
  <si>
    <t>Psicóloga feminista en @mentalconstblog Ψ. Emigrá en Madrid. Discapacidad, sexualidad y género. De @FeminismosB</t>
  </si>
  <si>
    <t>https://www.facebook.com/PsychePsicologiaNV</t>
  </si>
  <si>
    <t>jose carlos lorenzo</t>
  </si>
  <si>
    <t>Pablo Casado: "Es lamentable que el Gobierno dependa de socios como el señor Rufián"</t>
  </si>
  <si>
    <t>http://play.cadenaser.com/audio/001RD010000005292190/?ssm=fb</t>
  </si>
  <si>
    <t>Henry Ettinghausen</t>
  </si>
  <si>
    <t>"Pablo Casado dice que la exaltación del franquismo solo debería estar prohibida si es violenta, como la del comunismo" (, 22/11/18). Qualsevol comentari seria sobrer.</t>
  </si>
  <si>
    <t>http://elDiario.es</t>
  </si>
  <si>
    <t>Desiderio</t>
  </si>
  <si>
    <t>Técnico de Archivos Licenciado en Filosofía y Letras (Historia Medieval)</t>
  </si>
  <si>
    <t>TurboNoticias</t>
  </si>
  <si>
    <t>Sígueme si quieres estar al día de las últimas noticias de la red!!</t>
  </si>
  <si>
    <t>Pablo Casado dice que la exaltación del franquismo solo debería estar prohibida si es violenta, como la del comunismo -</t>
  </si>
  <si>
    <t>El Mundo España</t>
  </si>
  <si>
    <t>Pablo Casado ratifica al ex ministro Rafael Catalá tras el fiasco del CGPJ</t>
  </si>
  <si>
    <t>Sección 'España' del diario El Mundo. #EleccionesGenerales #Politica #Tribunales #Seguridad #CasaReal #Partidos #Debate #Corrupcion #UltimaHora</t>
  </si>
  <si>
    <t>http://www.elmundo.es/espana.html</t>
  </si>
  <si>
    <t>Liverdades</t>
  </si>
  <si>
    <t>http://dlvr.it/QrrMq8</t>
  </si>
  <si>
    <t>https://pbs.twimg.com/media/DsmhqjzU8AEhmfY.jpg</t>
  </si>
  <si>
    <t>Medio digital de opinión política, filosófica y social. Tu opinión es lo más importante. En Facebook https://www.facebook.com/liverdades.es/</t>
  </si>
  <si>
    <t>http://liverdades.com/</t>
  </si>
  <si>
    <t>Los conservadores españoles vuelven a reclamar ilegalizar organizaciones independentistas - BARCELONA (Sputnik) — El presidente del Partido Popular (PP) y líder de la oposición, Pablo Casado, volvió a reclamar la ilegalización de...</t>
  </si>
  <si>
    <t>http://bit.ly/2DSGDFx</t>
  </si>
  <si>
    <t>Sevilla 24 horas</t>
  </si>
  <si>
    <t>Casado insiste en pactar con Cs aunque PP-A no sea el más votado: “No puedo salir al ring con la mano en la espalda”  El presidente del PP, Pablo Casado, ha vuelto a dejar claro que su preferencia en cuanto a un hipotético pacto de gobierno tras los resu…</t>
  </si>
  <si>
    <t>https://ift.tt/2zn5tJD</t>
  </si>
  <si>
    <t>Sevilla, Andalucía</t>
  </si>
  <si>
    <t>Diario digital con noticias de Sevilla, Andalucía y el mundo</t>
  </si>
  <si>
    <t>http://www.sevilla24horas.com</t>
  </si>
  <si>
    <t>ElhuffPostPolitica</t>
  </si>
  <si>
    <t>https://pbs.twimg.com/media/DsmhAjwXcAAAtjA.jpg</t>
  </si>
  <si>
    <t>La política ha cambiado. La manera de informar sobre política también.</t>
  </si>
  <si>
    <t>http://www.huffingtonpost.es/news/politica/</t>
  </si>
  <si>
    <t>Francisco Colmenero</t>
  </si>
  <si>
    <t>Ya vale de poner en duda y cuestionar lo dicho por Pablo Casado sobre el wasap de Cosidó. El presidente del PP tiene la honorabilidad suficiente para ser creído...quizás otros líderes no puedan decir lo mismo.</t>
  </si>
  <si>
    <t>Picapleitos aficionado. Voyeur. Soltero y sin compromiso. Un crack.</t>
  </si>
  <si>
    <t>Tensión entre Pepa Bueno y Pablo Casado: "Desde Esperanza Aguirre no he tenido tantas dificultades para hacer preguntas"  vía @ElHuffPost</t>
  </si>
  <si>
    <t>http://dlvr.it/QrrLCV</t>
  </si>
  <si>
    <t>https://pbs.twimg.com/media/DsmfnWQVYAAkvAm.jpg</t>
  </si>
  <si>
    <t>Teresa perez-cepeda</t>
  </si>
  <si>
    <t>Por orden de Pablo Casado. RT @GuillemCristo: @Teresaperezcep1 Partió de @TeoGarciaEgea</t>
  </si>
  <si>
    <t>https://twitter.com/GuillemCristo/status/1065554193073795072</t>
  </si>
  <si>
    <t>La Coruña</t>
  </si>
  <si>
    <t>Eﾚ M⊕η†αrαz</t>
  </si>
  <si>
    <t>Pedro Sánchez exige disculpas a Pablo Casado por el escupitajo de ERC a Borrell</t>
  </si>
  <si>
    <t>https://pbs.twimg.com/media/DsmeW1_XoAA57lS.jpg</t>
  </si>
  <si>
    <t>Mordor</t>
  </si>
  <si>
    <t>DANDO LEÑA DESAYUNO, COMIDA Y CENA LOS 365DÍAS/24H. CONTRA TODOS LOS DOGMAS DE LA PROGRESÍA. MENOS ESTADO MÁS LIBERTAD.</t>
  </si>
  <si>
    <t>laSexta</t>
  </si>
  <si>
    <t>http://atres.red/1wm6e4</t>
  </si>
  <si>
    <t>http://bit.ly/2QXgbNV</t>
  </si>
  <si>
    <t>https://pbs.twimg.com/media/DsiTmMeXQAA800D.jpg</t>
  </si>
  <si>
    <t>Todo el contenido de laSexta en nuestro perfil, en http://laSexta.com y en http://facebook.com/laSexta</t>
  </si>
  <si>
    <t>http://www.lasexta.com</t>
  </si>
  <si>
    <t>Cristóbal Delatorre</t>
  </si>
  <si>
    <t>http://dlvr.it/QrrJJf</t>
  </si>
  <si>
    <t>https://pbs.twimg.com/media/DsmcaihV4AEri9x.jpg</t>
  </si>
  <si>
    <t>Soy Republicano y de Podemos ✊ 💜. Soy alérgico al PP-Cs-Psoe.</t>
  </si>
  <si>
    <t>https://www.huffingtonpost.es/2018/11/22/tension-entre-pepa-bueno-y-pablo-casado-desde-esperanza-aguirre-no-he-tenido-tantas-dificultades-para-hacer-preguntas_a_23596803/?utm_hp_ref=es-homepage</t>
  </si>
  <si>
    <t>https://pbs.twimg.com/media/DsmcM-1XQAEjqnC.jpg</t>
  </si>
  <si>
    <t>Ivanjode</t>
  </si>
  <si>
    <t>Pablo Casado no miente. El PP durante 5 años ayudó a buscar fosas comunes y a hacer cumplir con la memoria con un presupuesto de 0 euros. RT @La_SER: Casado, en @HoyPorHoy: "Si la exaltación del Franquismo es violenta debería prohibirse... no vamos a seguir mordiendo los señuelos que ponía Zapatero o ahora Sánchez para no hablar de lo que pasa en 2018"</t>
  </si>
  <si>
    <t>Camelot</t>
  </si>
  <si>
    <t>Para tweet fijado el que tengo aquí colgado. Soy responsable de lo que digo pero no de lo que entiendas.</t>
  </si>
  <si>
    <t>victor rodriguez de</t>
  </si>
  <si>
    <t>Sr.Presidente no acuse a Pablo Casado y defienda a su ministro de Asuntos Exteriores José Borrell.</t>
  </si>
  <si>
    <t>joaquin santana</t>
  </si>
  <si>
    <t>#BroncaCongresoARV El @PPopular de Pablo Casado dice k xra k la organización criminal Ppopular apoye al gobierno en condenar el Franquismo y sacar a la momia de FRANCO del valle de los Caídos "hay k ilegalizar al populismo de UP y a los INDEPES"😠😠😠😠 #EnterrarElFranquismo</t>
  </si>
  <si>
    <t>https://pbs.twimg.com/media/DsmbqBEWsAAX0fE.jpg</t>
  </si>
  <si>
    <t>⬅MUY DE IZQUIERDAS / ❌EX DELEGADO DE UGT/ ⚽Elchecf💚</t>
  </si>
  <si>
    <t>http://www.elcheclubdefutbolsad.com</t>
  </si>
  <si>
    <t>Jota POV</t>
  </si>
  <si>
    <t>Pepa Bueno compara a Pablo Casado con Esperanza Aguirre por embarrar la entrevista + #Zasca de @AntonioMaestre por redes. VIDEO 👉👉  #FelizJueves #ParaQueSirveLaMonarquia Más Madrid</t>
  </si>
  <si>
    <t>https://bit.ly/2BoZaqy</t>
  </si>
  <si>
    <t>https://pbs.twimg.com/media/DsmaBspX4AEc4yy.jpg</t>
  </si>
  <si>
    <t>Youtuber, pantuflólogo con certificado oficial. Editor de chorradas sensatas en forma de simulación y vecino del que elige al alcalde en http://www.jotapov.com</t>
  </si>
  <si>
    <t>https://www.youtube.com/channel/UC2OPRvShCwMeO__KHVyPl9w?sub_confirmation=1</t>
  </si>
  <si>
    <t>tomeu borrego</t>
  </si>
  <si>
    <t>PABLO CASADO insiste en la ilegalización de la CUP y Arran !</t>
  </si>
  <si>
    <t>https://www.facebook.com/1635893986/posts/10215624476158394/</t>
  </si>
  <si>
    <t>Sant Adrià de Besós</t>
  </si>
  <si>
    <t>tota una vida pel meu Basalona</t>
  </si>
  <si>
    <t>http://cherinola-cherinolasweb.blogspot.com/</t>
  </si>
  <si>
    <t>Juan Carlos González</t>
  </si>
  <si>
    <t>Pablo Casado y su asesor para temas cubanos, Ángel Carromero</t>
  </si>
  <si>
    <t>https://pbs.twimg.com/media/DsmZafcXgAAgDsU.jpg</t>
  </si>
  <si>
    <t>Aprendiz. Hace años que no piso una peluquería.</t>
  </si>
  <si>
    <t>Enorme malestar entre sorayistas del PP, convencidos de que el vergonzoso watsshap de Cosido, partió de Pablo Casado.</t>
  </si>
  <si>
    <t>Antonio_Delgado</t>
  </si>
  <si>
    <t>Pero que no le han dado una estrella Michelín a Pablo Casado ? 😱🙈 Amos no me jodas !!!</t>
  </si>
  <si>
    <t>https://pbs.twimg.com/media/DsmXpw8WwAAaCT2.jpg</t>
  </si>
  <si>
    <t>Entrevías , Vallekas</t>
  </si>
  <si>
    <t>Mi madre me decía , No eres más tonto porqué no te entrenas ... y aquí estoy , en Twitter dándolo todo 😉</t>
  </si>
  <si>
    <t>Señor Gremlin</t>
  </si>
  <si>
    <t>Pedro Sánchez dice que Pablo Casado tiene que pedir perdón por insultar a Josep Borrell y luego escupirle. También Casado debe disculparse según Sánchez por llamar fascistas al 76% de los 47 millones de ciudadanos españoles que apoyan a Ciudadanos, al PP y al PSOE (36 millones).</t>
  </si>
  <si>
    <t>España, Europa, Humanidad.</t>
  </si>
  <si>
    <t>Entre socialdemocracia y socioliberalismo. TOC de Pragmatismo. Anti-totalitarismos. Sólo hay dos tipos de comunistas/fascistas : necios ignorantes y sociópatas.</t>
  </si>
  <si>
    <t>Pedro Guzmán</t>
  </si>
  <si>
    <t>Y tan tapado...como no se den prisa. El conocimiento del candidato a la hora de decidir el voto es importante.</t>
  </si>
  <si>
    <t>Periodista. Ahora en @sextaNoticias y soñando en @poblafm. El rigor es lo único que tenemos en este trabajo. Aquí solo mis opiniones.</t>
  </si>
  <si>
    <t>http://about.me/pedroguzman</t>
  </si>
  <si>
    <t>Filósofadepacotilla</t>
  </si>
  <si>
    <t>Hola, soy Pablo Casado, les puedo explicar los beneficios de la colonización...</t>
  </si>
  <si>
    <t>https://www.facebook.com/1432784106943404/posts/2183694775185663/</t>
  </si>
  <si>
    <t>🤔 Filosofa que algo queda 🤔</t>
  </si>
  <si>
    <t>https://www.instagram.com/silviafilosofadepacotilla/</t>
  </si>
  <si>
    <t>E. Romero</t>
  </si>
  <si>
    <t>Como Presidente del partido... ya veremos, pero como Pablo Casado, lo que haga falta, al tiempo. RT @pablocasado_: Como presidente del @PPopular no voy a tolerar una sola actitud que se aparte de la ejemplaridad y la transparencia. Mi proyecto político es incompatible con cualquier actitud que se aleje de la vocación de servicio al ciudadano, estamos para servir a los españoles. @HoyPorHoy</t>
  </si>
  <si>
    <t>Francisco Tijeras</t>
  </si>
  <si>
    <t>En #Madrid de #Jaén como el mejor #aceitedeoliva. Obrero. #SaludyRepública.</t>
  </si>
  <si>
    <t>Reus</t>
  </si>
  <si>
    <t>Descúbrelo por ti mism@....</t>
  </si>
  <si>
    <t>http://autillotwitt.blogspot.com/</t>
  </si>
  <si>
    <t>#CosidóGate El portavoz del PP en el Senado no fue el autor del watsapp porque, como dice en el mismo, el que lo escribe estaba en primera línea de la negociación del pacto sobre Marchena. Y Cosidó no estuvo. Se apunta que Pablo Casado es el autor intelectual.</t>
  </si>
  <si>
    <t>Bueno, es lo mismo salvo alguna cosa, Pablo Casado. Te explico: Los nazis, que eran amigos del dictador del que surgió el PP, marcaban a los que luego encerraban (y gaseaban). Los lazos amarillos se los coloca uno mismo para pedir que se libere a los encerrados.</t>
  </si>
  <si>
    <t>Qué tonto, jajajaja. No haber estudiao, como hizo Pablo Casado.</t>
  </si>
  <si>
    <t>https://pbs.twimg.com/media/DsmO7-gXQAA-rPV.jpg</t>
  </si>
  <si>
    <t>León, España</t>
  </si>
  <si>
    <t>Francina Iglesias</t>
  </si>
  <si>
    <t>El Presidente de una mafia criminal (PP) condiciona su rechazo al franquismo a q se ilegalicen p. políticos como Podemos porque son un incordio para su crimen organizado. Parece un chiste pero Pablo Casado lo dice totalmente en serio y sin el menor atisbo de vergüenza. Quique</t>
  </si>
  <si>
    <t>Actriz y cantante. Uno y todos somos la misma esencia humana y divina. El mundo es una farsa. A pesar de todo, somos héroes latiendo con el ritmo universal.</t>
  </si>
  <si>
    <t>Miguel Lacave</t>
  </si>
  <si>
    <t>Cómo tiene la uña del meñique Pablo Casado?</t>
  </si>
  <si>
    <t>Leganés, Madrid</t>
  </si>
  <si>
    <t>El humor no tiene límite http://bvs.sld.cu/revistas/his/vol_1_98/his06198.pdf</t>
  </si>
  <si>
    <t>El presidente del PP, Pablo Casado, vuelve con la ley de partidos e insiste en la ilegalización de la CUP y Arran</t>
  </si>
  <si>
    <t>https://www.elnacional.cat/es/politica/pablo-casado-ilegalitzacion-cup-arran_327270_102.html</t>
  </si>
  <si>
    <t>Viendo estupefacta, las torpezas diarias que salen de la dirección del PP, tengo la sensación, que el Partido Popular, se ha metido en un autobús, conducido por Pablo Casado, que no tiene carnet! #PSOEGeneraConfianza #PSOEGeneraIlusion</t>
  </si>
  <si>
    <t>David</t>
  </si>
  <si>
    <t>Sebastián Lavezzolo</t>
  </si>
  <si>
    <t>Hola Pablo Casado. Ven a mi universidad a ilegalizar esta máquina de café YA.</t>
  </si>
  <si>
    <t>https://pbs.twimg.com/media/DsmK_I6XoAAfjBx.jpg</t>
  </si>
  <si>
    <t>Politólogo. PhD (NYU). Profesor en @uc3m. Coautor del blog @Piedras_papel</t>
  </si>
  <si>
    <t>https://sites.google.com/view/sebastianlavezzolo</t>
  </si>
  <si>
    <t>Pablo Casado: "A Leopoldo López (padre) probablemente le resultaría más fácil estar en su casa llorando el encarcelamiento de su hijo (...) Sin embargo, él ha decidido salir a contarlo"</t>
  </si>
  <si>
    <t>https://pbs.twimg.com/media/DsmKxjHWkAM-EMZ.jpg</t>
  </si>
  <si>
    <t>Juanjo Jiménez Lucen</t>
  </si>
  <si>
    <t>Entonces no fue Pablo Casado. RT @ErnestoEkaizer: #CosidóGate El portavoz del PP en el Senado no fue el autor del watsapp porque, como dice en el mismo, el que lo escribe estaba en primera línea de la negociación del pacto sobre Marchena. Y Cosidó no estuvo. Se apunta que Pablo Casado es el autor intelectual.</t>
  </si>
  <si>
    <t>Montequinto, Sevilla.</t>
  </si>
  <si>
    <t>Hay acciones que se pueden evitar.</t>
  </si>
  <si>
    <t>Mila Rodríguez</t>
  </si>
  <si>
    <t>No soy dada a escribir tweets así pero es que he estado dándole vueltas a qué se puede decir de estas declaraciones de Pablo Casado y es que sólo se me ocurre una cosa: MENUDAPANDADEHIJOSDEPUTA RT @NTMEP: — ¿La exaltación del franquismo debería estar prohibida? — Si es violenta, debe estar prohibida. Si no es violenta WHERE IS THE PROBLEM?</t>
  </si>
  <si>
    <t>Espectadora. Feminista. Estudié Periodismo. Tengo una cicatriz de 8 cm, un cactus y muchas postales.</t>
  </si>
  <si>
    <t>Julián Callejo Ruiz 🔻🌶️🍌🍆</t>
  </si>
  <si>
    <t>A Pablo Casado las mentiras lo van volviendo más Picassiano. A este paso será más feo que carracuca.</t>
  </si>
  <si>
    <t>Perdido, idiota, raro. Vendo 📷 -http://society6.com/juliancallejo Escribo sobre 🎶 http://juliancallejo.com y más en ⬇️</t>
  </si>
  <si>
    <t>https://madridtemata.tumblr.com</t>
  </si>
  <si>
    <t>Pablo Casado, tras el rifirrafe en el Congreso: "Es lamentable que el Gobierno dependa de socios como Rufián"</t>
  </si>
  <si>
    <t>http://atres.red/1wm6e2</t>
  </si>
  <si>
    <t>🇪🇸Mike Boquerón🇪🇸</t>
  </si>
  <si>
    <t>#ReflexiónDelDía #SanchezDimision Tras el bochorno vivido ayer en el Congreso de los Diputados y el ataque de Rufian y ERC al Ministro Borrell, sale el okupa Sanchez y en vez de dar un golpe en la mesa, acusa a Pablo Casado #LoDeEsteTioNoTieneNombre</t>
  </si>
  <si>
    <t>https://pbs.twimg.com/media/DsmHNvEXgAAWgAU.jpg</t>
  </si>
  <si>
    <t>No son bienvenidos morados, lazis ni comunistas. Bloqueo inmediato. 💙 El sentimiento nunca muere 💙</t>
  </si>
  <si>
    <t>http://www.huffingtonpost.es/2018/11/22/pablo-casado-rechaza-el-whatsapp-sobre-los-jueces-y-cree-que-no-lo-escribio-cosido_a_23596700/</t>
  </si>
  <si>
    <t>Prensa fresca</t>
  </si>
  <si>
    <t>Casado: 'Nosotros no colonizábamos, lo que hacíamos era tener una España más grande'</t>
  </si>
  <si>
    <t>https://www.lavanguardia.com/politica/20181117/452992780484/pablo-casado-espana-no-colonizaba-tener-espana-mas-grande.html?utm_source=facebook&amp;utm_medium=social&amp;utm_content=politica&amp;utm_campaign=lv&amp;fbclid=IwAR1uOdH7trwX9xDPOTPUo12jzNdChFoPoV9TBGZ-_uCbnYL45Y4lnGnQPuY</t>
  </si>
  <si>
    <t>Las noticias más comentadas en Twitter según los medios más enlazados. Información continua y actualizada</t>
  </si>
  <si>
    <t>https://www.eljueves.es/news/universidad-rey-juan-carlos-contrata-como-profesor-a-pablo-casado_2968?utm_source=twitter&amp;utm_medium=social&amp;utm_campaign=trafico</t>
  </si>
  <si>
    <t>Miguel Angel Martín</t>
  </si>
  <si>
    <t>ARA Cultura</t>
  </si>
  <si>
    <t>Pablo Casado justifica la posició del PP, que ahir va evitar condemnar el franquisme al Senat</t>
  </si>
  <si>
    <t>Inquieto y activo ciudadano de ideas socialdemócratas,que procura un mundo mas justo,humano y equitativo.Militante del PSOE y afiliado a CCOO</t>
  </si>
  <si>
    <t>https://www.ara.cat/politica/Pablo-Casado-exaltacio-franquisme-violencia_0_2129787100.html</t>
  </si>
  <si>
    <t>Secció de Cultura del @diariARA. Seguiu-nos, també, a @ARAllegim</t>
  </si>
  <si>
    <t>http://www.ara.cat/cultura/</t>
  </si>
  <si>
    <t>Albers Alberssøn</t>
  </si>
  <si>
    <t>Hoy, en demócratas de toda la vida, el señor Pablo Casado. RT @HoyPorHoy: DIRECTO ¿La exaltación del franquismo debería estar prohibida? "Si es violenta, debería prohibirse"</t>
  </si>
  <si>
    <t>"Forbidden in heaven and useless in hell." http://instagram.com/aintagram En ocasiones diseño y dibujo cosas.</t>
  </si>
  <si>
    <t>http://albertocg.wixsite.com/ohalbert</t>
  </si>
  <si>
    <t>Carolina Neira Feáns</t>
  </si>
  <si>
    <t>Que dice Pablo Casado en Hoy por Hoy que la exaltación del franquismo solo se debería prohibir si es violenta. Entiendo entonces que hay exaltaciones pacifistas de una dictadura. A mí es que me explota la cabeza.</t>
  </si>
  <si>
    <t>Pontevedra, España</t>
  </si>
  <si>
    <t>Periodista. Entre la tercera edad y la revolución adolescente. Escribo, leo, escucho y bebo. Ahora en @Diario_Pontev y antes en @La_SER Galicia</t>
  </si>
  <si>
    <t>http://novosmedios.gal/entroido</t>
  </si>
  <si>
    <t>Acidocuprico</t>
  </si>
  <si>
    <t>-Señoría, igual lo maté yo, pero no tengo que ir a la cárcel si no va también el asesino del horóscopo, el de Los Galindos y Jack el Destripador. -Muy listo, usando la defensa Pablo Casado... Absuelto!!! -Toma!! Y decía Rato que no iba a funcionar!!!</t>
  </si>
  <si>
    <t>Yo esto lo dejo cuando quiera.</t>
  </si>
  <si>
    <t>Juan Porcel</t>
  </si>
  <si>
    <t>Albert Rivera es incapaz de llamar a VOX lo que es, partido de extrema derecha. Y el PP, con Pablo Casado a la cabeza, se niega a condenar el franquismo. Esta es la nueva derecha.</t>
  </si>
  <si>
    <t>La PPina perjudica seriamente la salud. GRANADA CF y REAL MADRID en este orden. GRANADA. ESPAÑA. Cumpleaños 2 de mayo.</t>
  </si>
  <si>
    <t>http://dlvr.it/QrqyL9</t>
  </si>
  <si>
    <t>https://pbs.twimg.com/media/DsmEJIMVYAAj35m.jpg</t>
  </si>
  <si>
    <t>¿Ha dicho ya Pablo Casado que en la batalla de Trafalgar nos dejamos ganar? Es para un amigo.</t>
  </si>
  <si>
    <t>La ley de Boyle establece que la rapidez con la que Pablo Casado condena una dictadura es inversamente proporcional a la relación de su partido con esa dictadura, si la corrupción es constante.</t>
  </si>
  <si>
    <t>Marcos Martino</t>
  </si>
  <si>
    <t>📻 Escuchando a Pablo #Casado en una entrevista queda muy claro que no tiene ningún pudor en erigirse en paradigma de la ideología del yo frente a la ideología del nosotr@s: "el sistema de elección de jueces que YO he decidido" entre otros YOes suficientes #SalveseQuienPPueda 😞</t>
  </si>
  <si>
    <t>Cadavedo | Bruselas | Lavapiés</t>
  </si>
  <si>
    <t>Psicólogo crítico • #Neuroética | #Psicopolítica Análisis y Discurso en @EuroPodemos | @Europarl</t>
  </si>
  <si>
    <t>http://www.lavozdeasturias.es/firmas/marcos-martino</t>
  </si>
  <si>
    <t>Nacho Ruiz</t>
  </si>
  <si>
    <t>Pablo Casado evitando condenar el franquismo.</t>
  </si>
  <si>
    <t>pic.twitter.com/eAnBYPTn01</t>
  </si>
  <si>
    <t>Cantante de @nine_stories, guitarrista y pianista de @alondrabentley, director de @mnt_ventoux, escritor y periodista. Instagram: @nachoninestories</t>
  </si>
  <si>
    <t>http://www.ninestoriesband.com</t>
  </si>
  <si>
    <t>Mad Marxian</t>
  </si>
  <si>
    <t>El rebuzno de Pablo Casado sobre prohibir el comunismo es de una enorme torpeza política,el PCE(único partido que tiene más o menos importancia) sirve fielmente al sistema con sus chorradas indentatarias como el feminismo,animalismo y las chorradas sobre la momia de Franco ...</t>
  </si>
  <si>
    <t>obrero marxista</t>
  </si>
  <si>
    <t>Carlos Carlos Carlos</t>
  </si>
  <si>
    <t>pablo casado hijo de puta</t>
  </si>
  <si>
    <t>iugfyfghujgjguchjfsdszasgydfds</t>
  </si>
  <si>
    <t>I make games and culo and @theregurgame</t>
  </si>
  <si>
    <t>https://ojetejohnson.itch.io/</t>
  </si>
  <si>
    <t>Francisco Fernandez</t>
  </si>
  <si>
    <t>#FelizJueves @HoyPorHoy @La_SER Nunca escuche a un político con mayor torpeza política, e intelectual, como Pablo Casado en @HoyPorHoy Servirá a quienes sirva. Pero.. " No hay por donde cogerlo." Mi opinión: Ha sido escogido para ser "mangoneado."</t>
  </si>
  <si>
    <t>Pablo Casado asegura ahora que lo que pide el PP es ilegalizar a cualquier organización que exalte "la violencia". Solo si es violenta. Es falso. No es eso lo que dice la enmienda que presentó su partido en el Senado.</t>
  </si>
  <si>
    <t>Gijón</t>
  </si>
  <si>
    <t>https://www.eldiario.es/_31f0145a</t>
  </si>
  <si>
    <t>https://pbs.twimg.com/media/Dsl_q-eXcAAwfAI.jpg</t>
  </si>
  <si>
    <t>https://twitter.com/pablocasado_/status/1064961885383114754</t>
  </si>
  <si>
    <t>https://pbs.twimg.com/media/DseBLfmXoAcTj1A.jpg</t>
  </si>
  <si>
    <t>yolanda</t>
  </si>
  <si>
    <t>Menuda entrevista a Pablo Casado por @PepaBueno o como ante cualquier pregunta culpar al gobierno de todo. DE TODO. Se les tenía que caer la cara de vergüenza a estos del PP</t>
  </si>
  <si>
    <t>SAGUNTO PUERTO</t>
  </si>
  <si>
    <t>con los pies en el suelo y la cabeza en las nubes,creo posible un mundo mas justo.Mientras tanto, trabajo de enfermera.De izquierdas, por supuesto y republicana</t>
  </si>
  <si>
    <t>Luis Javier Sanjuan</t>
  </si>
  <si>
    <t>Fuentes bien informadas dicen que el responsable del wassap de Cosidó sobre el CGPJ fue "Zapatero" Perdón, última hora, fue el, repito "EL ZAPATERO" de Génova.😜 Pablo Casado "EL CONVALIDADO PLAGIADOR SALVINIANO Y PRESCRITO" lo ha despedido.</t>
  </si>
  <si>
    <t>https://m.eldiario.es/politica/Partido-Popular-reventar-negociacion-CGPJ_0_838167069.html</t>
  </si>
  <si>
    <t>Catalán y jubilado. Me siento socialista y lo intento llevar a cabo. Como podréis observar la orquídea ha crecido y florecido, los socialistas igual.</t>
  </si>
  <si>
    <t>AnaAlonso</t>
  </si>
  <si>
    <t>Pablo Casado, este jueves en 'Hoy por hoy' -  Su estrategia.....bla bla bla bla y perdona Pepa pero, no voy a dejarte preguntar!!! Que tipejo, madreeeeee!!!</t>
  </si>
  <si>
    <t xml:space="preserve">Bilbo </t>
  </si>
  <si>
    <t>Seriéfila, cinéfila, fanática de Michael Connely y John Connolly, adoro a los animales y aborrezco a los "seres" que maltratan!!</t>
  </si>
  <si>
    <t>Andrea Rodrimon</t>
  </si>
  <si>
    <t>Y hoy vuelvo a decirlo: joder, Pablo Casado, qué cinismo.</t>
  </si>
  <si>
    <t>Getxo - Gijón</t>
  </si>
  <si>
    <t>Aún estoy escribiendo mi biografía</t>
  </si>
  <si>
    <t>Martinico</t>
  </si>
  <si>
    <t>La mejor manera de contestar a preguntas incómodas es no dejar hablar a la entrevistadora. Pablo Casado en @HoyPorHoy .</t>
  </si>
  <si>
    <t>...en un lugar de La Mancha</t>
  </si>
  <si>
    <t>Duende en excedencia. Analista político-deportivo-gastronómico-musical. Graduado Escolar. Diplomado por la Escuela de Adultos Prematuros y Viejo.😎🚶‍♂️🥘🎼</t>
  </si>
  <si>
    <t>Pensaba que después de Aznar sería imposible q alguien produjera con su discurso más náuseas..... enhorabuena Pablo Casado!</t>
  </si>
  <si>
    <t>Blog Societat Anònima</t>
  </si>
  <si>
    <t>Pedro Sánchez no votó la Constitución. Pablo Casado no votó la Constitución. Albert Rivera no votó la Constitución. Pablo Iglesias no votó la Constitución. Felipe VI no votó la Constitución. Cuando alguien afirme que la votaron todos los españoles, ríete.</t>
  </si>
  <si>
    <t>Àlex Ribes. Turisme. Audiovisuals. Professor i blogaire. Autor de BENVOLGUT, O NO (Viena Edicions, 2016). INSTAGRAM: http://instagram.com/ribes.a/</t>
  </si>
  <si>
    <t>http://societatanonima.wordpress.com/</t>
  </si>
  <si>
    <t>PSOE PINTO</t>
  </si>
  <si>
    <t>Segunda vez que Pablo Casado confunde "partido" con "país"... Esto sí que es "pensamiento único" 😉 #hoyporhoy #psoepinto</t>
  </si>
  <si>
    <t>Pinto, MADRID</t>
  </si>
  <si>
    <t>Twitter oficial de la Agrupación Socialista de Pinto. Trabajamos por la ciudadanía de Pinto.</t>
  </si>
  <si>
    <t>http://www.socialistasdepinto.com</t>
  </si>
  <si>
    <t>Virginia P.  Alonso</t>
  </si>
  <si>
    <t>Dice Pablo Casado en la SER que está todo bien y que las #víctimas de #franquismo pueden buscar a sus #desaparecidos desde hace muchos años sin problema. Eso es lo que dice y esta es la realidad 👇🏽👇🏽👇🏽 RT @Virginiapalonso: El PP y Cs, absteniéndose y poniendo condiciones para condenar la dictadura de Franco. Partidos que se sientan en un Parlamento democrático. Por eso es FUNDAMENTAL recordar algunos hechos.</t>
  </si>
  <si>
    <t>https://twitter.com/virginiapalonso/status/1065329532037734400
https://www.publico.es/tremending/2018/11/21/una-franca-cuadratura-del-circulo-el-pp-pide-ilegalizar-el-comunismo-como-hizo-franco-para-evitar-condenar-el-franquismo/</t>
  </si>
  <si>
    <t>Periodista. Codirectora de @publico_es. Presidenta de @PDLI_ y miembro de la junta ejecutiva del IPI (@globalfreemedia). Dudo de casi todo.</t>
  </si>
  <si>
    <t>Stéphane M. Grueso</t>
  </si>
  <si>
    <t>Escuchas a Pablo Casado en la radio hablar y te das cuenta de lo que hay: na-da. Está vacío. No llega ni a cuñao. Qué horror. Dios nos coja confesaos.</t>
  </si>
  <si>
    <t>https://m.eldiario.es/politica/PP-ilegalizacion-organizaciones-comunistas-populistas_0_837817434.html</t>
  </si>
  <si>
    <t>SVQ/BER/MAD (Old Europe)</t>
  </si>
  <si>
    <t>Hago #cosas en @Filtrala y colaboro en @maldita_es. Intento defender Derechos Humanos haciendo política desde la calle en @PDLI_. Hacía documentales. #Seguimos</t>
  </si>
  <si>
    <t>https://www.linkedin.com/in/stephanegrueso</t>
  </si>
  <si>
    <t>Jau, JM Jaurrieta</t>
  </si>
  <si>
    <t>Bonito el bochorno que está protagonizando Pablo Casado en @HoyPorHoy. ¡No os lo perdáis!</t>
  </si>
  <si>
    <t>No en Burlada pero aún en la margen derecha del Runa.</t>
  </si>
  <si>
    <t>Sabes que te hace falta un ingeniero. No te resistas más, anda, que va a ser mejor para ti.</t>
  </si>
  <si>
    <t>http://www.masfrioquerobandonieve.blogspot.com</t>
  </si>
  <si>
    <t>Alberto</t>
  </si>
  <si>
    <t>Entrevista de Pepa Bueno a Pablo Casado en “Hoy por hoy”. Pepa, como siempre, maravillosa; Casado, arrinconado y hablando por hablar para no dar tiempo a que le hagan preguntas</t>
  </si>
  <si>
    <t>Palencia - Valladolid</t>
  </si>
  <si>
    <t>24. Graduado en Medicina por la UVa. Opositor #2MIR19, a por #Digestivo. 希望</t>
  </si>
  <si>
    <t>https://Instagram.com/albgard/</t>
  </si>
  <si>
    <t>Silvia Valero</t>
  </si>
  <si>
    <t>Pablo casado hablando de indecencia y altura de miras.....</t>
  </si>
  <si>
    <t>Domingo Benito</t>
  </si>
  <si>
    <t>El PP quiere “recuperar el espíritu de la transición”. La legalización del PCE fue clave para la democracia española. A Pablo Casado le preguntan en @La_SER si cree que hay que ilegalizar el PCE y no dice que no.</t>
  </si>
  <si>
    <t>Pedagogo, opositando al cuerpo de Maestros. Teniente Alcalde del Ayuntamiento de Ciudad Rodrigo. Soñador empedernido.</t>
  </si>
  <si>
    <t>http://dominbenito.wordpress.com</t>
  </si>
  <si>
    <t>Daniel | ElTabernero</t>
  </si>
  <si>
    <t>Lo de Pablo Casado es, literalmente, vivir en su pompa. Lo de ahora mismo en la SER está siendo lamentable...</t>
  </si>
  <si>
    <t>Por ahí, con esta gente</t>
  </si>
  <si>
    <t>Parece que soy periodista en la radio. He hecho audilibros y diseñado robots, aunque no sé si por ese orden. Era idiota antes de la plaga. Cuentista en general.</t>
  </si>
  <si>
    <t>http://danielmiguel.es</t>
  </si>
  <si>
    <t>María</t>
  </si>
  <si>
    <t>Pablo Casado invita a @PepaBueno a hablar de Fernando VII, igual que se habla de Franco. O a debatir sobre el carlismo como se hace con el franquismo. Ahora, en @HoyPorHoy</t>
  </si>
  <si>
    <t>Segovia y más allá</t>
  </si>
  <si>
    <t>Doctoranda en periodismo. Fui emprendedora, ahora investigo sobre pobreza infantil y prensa. Activista por los DDHH e intento pensar en verde. De pueblo</t>
  </si>
  <si>
    <t>https://sinsabernada.wordpress.com/</t>
  </si>
  <si>
    <t>Antonio Martín</t>
  </si>
  <si>
    <t>Dice Pablo Casado en @HoyPorHoy que se han podido recuperar los restos de seres queridos represaliados por el franquismo y que esa búsqueda ha contado con la ayuda de las instituciones. En serio, que sí, que lo ha dicho</t>
  </si>
  <si>
    <t>Collado Villalba, Castilla</t>
  </si>
  <si>
    <t>Corro por el campo y hablo por la radio. O corro por la radio y hablo por el campo. @Hora14 @La_SER</t>
  </si>
  <si>
    <t>Raquel Pérez Álvarez</t>
  </si>
  <si>
    <t>Las explicaciones que está fondo Pablo Casado para justificar que ni condena el fascismo ni quiere ilegalizar a los que ensalzan la figura del dictador dan bastante vergüenza</t>
  </si>
  <si>
    <t>Córdoba</t>
  </si>
  <si>
    <t>y si no hay viento habrá que remar. En @datasocial_es</t>
  </si>
  <si>
    <t>Sandra Sánchez</t>
  </si>
  <si>
    <t>Pepa Bueno ha preguntado a Pablo Casado sobre condenar el franquismo y éste termina hablando de Cataluña. 🤷🏼‍♀️</t>
  </si>
  <si>
    <t>Periodismo | Datos | SEO/SEM. En @voz_populi.</t>
  </si>
  <si>
    <t>http://www.sandrasm.com</t>
  </si>
  <si>
    <t>Cricri</t>
  </si>
  <si>
    <t>De cero a Pablo Casado ¿cómo de tonto eres?</t>
  </si>
  <si>
    <t>Madriz</t>
  </si>
  <si>
    <t>Repetí Parvulitos.Mahouista. Atleti hasta la muerte. Blanco​ ni el orujo. #MHDP. Turnedo ❤Una cosa que se me da muy bien es beber cerveza</t>
  </si>
  <si>
    <t>http://es.favstar.fm/users/buttercri</t>
  </si>
  <si>
    <t>Pablo Casado no tiene ni puta idea de historia. Así literal, éste tío es un peligro para el país con sus declaraciones</t>
  </si>
  <si>
    <t>Pablo Casado, en @HoyPorHoy: "Ciudadanos no nos va a superar en Andalucía y además esperamos superar a Susana Díaz"</t>
  </si>
  <si>
    <t>José Luis Gómez</t>
  </si>
  <si>
    <t>Pepa Bueno entrevistando a Pablo Casado, hacía tiempo que no reía a carcajadas por la calle, Casado al Club de la Comedia ¡ya!</t>
  </si>
  <si>
    <t>Licenciado en Biológicas y en Veterinaria. Siempre contra la corriente. Yo sí recuerdo cómo era mi país antes del 82</t>
  </si>
  <si>
    <t>https://www.europapress.es/nacional/noticia-recelos-dentro-pp-propuesta-entregar-jueces-eleccion-cgpj-riesgo-corporativismo-20181121195054.html</t>
  </si>
  <si>
    <t>Lo de Pablo Casado es de traca: si ha roto el pacto con el PSOE sobre el CGPJ, ¿por qué no lo hizo cuando se filtró en nombre de Marchena?, ¿por qué lo ha hecho cuando se ha filtrado el mensaje de Cosidó?. Este hombre miente por encima de sus posibilidades. RT @PPopular: 🎙 @pablocasado_ en @HoyPorHoy: "Hemos roto la negociación para la renovación del CGPJ porque el Gobierno de Pedro Sánchez ha filtrado el nombre de un posible presidente, hiriendo el pacto de muerte".</t>
  </si>
  <si>
    <t>https://twitter.com/PPopular/status/1065519113852854272</t>
  </si>
  <si>
    <t>Vaya duelo la entrevista de @PepaBueno a Pablo Casado en @HoyPorHoy</t>
  </si>
  <si>
    <t>Olga</t>
  </si>
  <si>
    <t>Pepa Bueno: ¿Adónde vas? Pablo Casado: Manzanas traigo</t>
  </si>
  <si>
    <t>Soy empática porque el mundo me ha hecho asín. Me gusta la política más de lo que imaginé. Primeriza de dos y ultimiza. Repelús las bodas y frases de autoayuda</t>
  </si>
  <si>
    <t>Emilio Ivars</t>
  </si>
  <si>
    <t>Pablo Casado se parece cada vez más a Trump. No deja que los periodistas le pregunten. Coge su hilo y olé!</t>
  </si>
  <si>
    <t>Maestro, Socialista, Diputado del @PSOE_RM en @asambleamurcia</t>
  </si>
  <si>
    <t>http://emilioivars.es</t>
  </si>
  <si>
    <t>Antonio Andolini</t>
  </si>
  <si>
    <t>Pablo Casado en la Ser 📻 Puro humor ahora mismo</t>
  </si>
  <si>
    <t>Málaga, España/ Los Angeles,CA</t>
  </si>
  <si>
    <t>Son tantos mis vicios que no logro profundizar en una mala senda Música Cine Sexo Series Libros y todo lo que merezca la pena ¿Mereces la pena tú??</t>
  </si>
  <si>
    <t>Pablo Casado, en @HoyPorHoy: "A mí me han dicho todo que el whatsapp no lo escribió Catalá. Difícilmente el @PPopular puede 'manosear' como se dice el sistema de elección del @poderjudicial para elegir a alguien a quién no conozco"</t>
  </si>
  <si>
    <t>La entrevista de Pepa Bueno es un monólogo de Pablo Casado</t>
  </si>
  <si>
    <t>Javier FD</t>
  </si>
  <si>
    <t>Es difícil encontrar una persona más falsa,mentirosa e hipócrita que Pablo Casado.</t>
  </si>
  <si>
    <t>Xixón, Asturies.</t>
  </si>
  <si>
    <t>Licenciado en Economía por la Universidad de Oviedo.</t>
  </si>
  <si>
    <t>http://www.facebook.com/profile.php?id=727486311&amp;sk=info</t>
  </si>
  <si>
    <t>27 cosas que no sabías de Pablo Casado</t>
  </si>
  <si>
    <t>https://www.huffingtonpost.es/2015/08/05/pablo-casado_n_7941228.html</t>
  </si>
  <si>
    <t>Creo que no puedo con ello. Entrevista a Pablo Casado PP en .@HoyPorHoy por .@PepaBueno El chico profident me enferma</t>
  </si>
  <si>
    <t>pic.twitter.com/O8sptlmlic</t>
  </si>
  <si>
    <t>Jordi Peña Salvador</t>
  </si>
  <si>
    <t>Pablo Casado, este jueves en 'Hoy por hoy'</t>
  </si>
  <si>
    <t>http://cadenaser.com/programa/2018/11/21/hoy_por_hoy/1542803484_524062.html#?ref=rss&amp;format=simple&amp;link=link</t>
  </si>
  <si>
    <t>Comunicador, speaker, blogger, locutor, informático, creador audiovisual y community manager</t>
  </si>
  <si>
    <t>http://jordipsalvador.info</t>
  </si>
  <si>
    <t>#EspañaEsUna #stopGlobalizacion #stopInmigracion #stopIslam #stopFemimarxismo #stopLGTB #stopViogenizacionCasoAislado_Es: Así fue la intervención de Pablo Casado en el Congreso de los Diputados. Pedro Sánchez vuelve a ser vapuleado por el líder del Parti…</t>
  </si>
  <si>
    <t>pic.twitter.com/dDO7u3ZxqZ</t>
  </si>
  <si>
    <t>Pablo Casado responsabilizó al Gobierno de Pedro Sánchez de haber “malogrado” el proceso de renovación del Consejo General del Poder Judicial (CGPJ)</t>
  </si>
  <si>
    <t>http://bit.ly/2QWoKIK</t>
  </si>
  <si>
    <t>https://pbs.twimg.com/media/Dsl4jrsX4AEV5YU.jpg</t>
  </si>
  <si>
    <t>ManuelJGarcia-HierroAndrade</t>
  </si>
  <si>
    <t>Perro, no come a perro. //. Pablo Casado ratifica al ex ministro Rafael Catalá tras el fiasco del CGPJ  vía @elmundoes</t>
  </si>
  <si>
    <t>Badajoz, España</t>
  </si>
  <si>
    <t>Licenciado Derecho UEX. Master Asesoría Jurídica de Empresas IE. Funcionario de Justicia. Liberal y Progresista. At. Madrid.</t>
  </si>
  <si>
    <t>Integritas</t>
  </si>
  <si>
    <t>https://www.moncloa.com/jaime-santos-pablo-casado-madrid/#.W_ZhMgXw-Ao.twitter</t>
  </si>
  <si>
    <t>💦Aguas Neutrales</t>
  </si>
  <si>
    <t>Ana Pastor pone contra las cuerdas a Pablo Casado en 'El Objetivo' con esta pregunta</t>
  </si>
  <si>
    <t>https://www.huffingtonpost.es/2018/10/28/ana-pastor-pone-contra-las-cuerdas-a-pablo-casado-en-el-objetivo-con-esta-pregunta_a_23574310/</t>
  </si>
  <si>
    <t>https://pbs.twimg.com/media/Dsl1LMpXQAEbOzU.jpg</t>
  </si>
  <si>
    <t>El poder reside en las cosas que nos unen, no en las que nos separan ¡Bienvenido a @AguasNeutrales!</t>
  </si>
  <si>
    <t>Mayke Schultz</t>
  </si>
  <si>
    <t>Estos sí que es “wasa”: El presidente del PP, Pablo Casado, ataca con contundencia la manipulación y control del Supremo “por detrás”, Marchena incluido, revelada con la filtración del WhatsApp de Cosidó cerrando el grupo de WhatsApp del Senado. 📱 Pi pim... pi pom... y ya. 👌</t>
  </si>
  <si>
    <t>🌍 ☯️⚖️☮️🏳️</t>
  </si>
  <si>
    <t>Un psiquiatra, rector de universidad, candidato presidencial, en una conversación me pregunta: ¿Quién eres tú?. A lo que dije: "Yo soy yo, Mayke Schultz®©"</t>
  </si>
  <si>
    <t>pablo casado llamo golpista al oresidente del gobierno en el congreso y no fue ni reprendido Rivera llama golpista y comunista a todo cristo""y no es reprendido y Rufian que DICE UNA VERDAD Q BORRELL ESTA VENDIDO A LA ULTRA DERECHA LO EXPULSAN DIMISION DE ANA PASTOR YA !!!!</t>
  </si>
  <si>
    <t>Mazelmind  מזל</t>
  </si>
  <si>
    <t>7:30 y Pablo Casado sin disculparse por los improperios de Rufián y los escupitajos en el Congreso. Ya le vale.Cómo crispa ese tío.</t>
  </si>
  <si>
    <t>Ciudadana de a pie y a veces de cabeza.</t>
  </si>
  <si>
    <t>http://www.mazelmind.wordpress.com</t>
  </si>
  <si>
    <t>Antonio Rodríguez</t>
  </si>
  <si>
    <t>https://www.moncloa.com/jaime-santos-pablo-casado-madrid/#.W_ZMVgVNOGA.twitter</t>
  </si>
  <si>
    <t>Periodista, amante de la Historia y del buen comer. Padre coraje y madridista. Ahora subdirector en http://www.moncloa.com</t>
  </si>
  <si>
    <t>http://www.linkedin.com/in/antonio-rodriguez-guerra</t>
  </si>
  <si>
    <t>Este chaval no es más GiliPPollas porque el día no tiene más horas.</t>
  </si>
  <si>
    <t>https://twitter.com/eldiarioes/status/1065203106311487488
https://www.eldiario.es/politica/PP-ilegalizacion-organizaciones-comunistas-populistas_0_837817434.html</t>
  </si>
  <si>
    <t>https://pbs.twimg.com/media/DshcjBQWoAEzhNl.jpg</t>
  </si>
  <si>
    <t>NotiVenezuela.com</t>
  </si>
  <si>
    <t>Pablo Casado dijo que el Gobierno español quiere "llevar a Maduro a la Corte Penal Internacional" #21Nov</t>
  </si>
  <si>
    <t>https://goo.gl/cbUVGj</t>
  </si>
  <si>
    <t>Noticias de Venezuela y el Mundo - http://NotiVenezuela.com</t>
  </si>
  <si>
    <t>http://www.NotiVenezuela.com</t>
  </si>
  <si>
    <t>Democracia real YA!</t>
  </si>
  <si>
    <t>“Pablo Casado, el gracioso.” Por @loscalvitos</t>
  </si>
  <si>
    <t>https://pbs.twimg.com/media/DslFSNHWoAAUNpo.jpg</t>
  </si>
  <si>
    <t>TOMA LA CALLE! No somos mercancía en manos de políticos y banqueros! #15M Fanpage: https://www.facebook.com/democraciarealya Youtube: http://bit.ly/i1Leth</t>
  </si>
  <si>
    <t>http://democraciarealya.es/</t>
  </si>
  <si>
    <t>Rafa Morata</t>
  </si>
  <si>
    <t>El PP extiende un cordón sanitario para proteger a Pablo Casado tras conocerse que Cosidó autorizó la difusión del polémico whatsapp sobre el CGPJ</t>
  </si>
  <si>
    <t>Marcelinho Tacita</t>
  </si>
  <si>
    <t>por favor prohíbe trabajar @pablocasado_ pablo casado barrabaja yo solo quiero el dinero</t>
  </si>
  <si>
    <t>http://cadenaser.com/ser/2018/11/21/politica/1542835046_987617.amp.html?ssm=tw&amp;__twitter_impression=true</t>
  </si>
  <si>
    <t>Ceuta</t>
  </si>
  <si>
    <t>Maestro de Primaria en la pública (la mejor, la de todos). Ugetista. Socialista. Cinefilia, viñetas y vida. Web personal consagrada a Rainer Werner Fassbinder</t>
  </si>
  <si>
    <t>https://www.rafamorata.es</t>
  </si>
  <si>
    <t>twitteo uminekos perdón</t>
  </si>
  <si>
    <t>PLENO SENADO</t>
  </si>
  <si>
    <t>http://dlvr.it/Qrq7hN</t>
  </si>
  <si>
    <t>https://pbs.twimg.com/media/DskzHyXU0AE8o54.jpg</t>
  </si>
  <si>
    <t>Información NO OFICIAL del Senado de España. Sigue también a @PlenoMunicipal @PlenoProvincial @PlenoAutonomico @PlenoSenado @PlenoCongreso @PlenoEuropeo</t>
  </si>
  <si>
    <t>Max, joven gay  🌹 #votaPSOE</t>
  </si>
  <si>
    <t>El hijo de Adolfo Suárez dice que Franco trajo la democracia 😂 Suárez Illana es actualmente el ideólogo del PP de Pablo Casado</t>
  </si>
  <si>
    <t>https://www.eldiario.es/politica/Suarez-Illana-PP-Casado-Franco_0_838167002.html</t>
  </si>
  <si>
    <t>https://pbs.twimg.com/media/DskvMUFXgAAc_KS.jpg</t>
  </si>
  <si>
    <t>Blog de un joven gay con ganas de defender los derechos 🌈LGTBI, la socialdemocracia 🌹 y el ecologismo🌻. Más humanismo 🌍 y menos nacionalismo. Cristianismo😇</t>
  </si>
  <si>
    <t>http://maxjovengay.blogspot.com.es/</t>
  </si>
  <si>
    <t>Laura Fernandez</t>
  </si>
  <si>
    <t>Pablo Casado: La seña de identidad del PP es la corupción  vía @YouTube</t>
  </si>
  <si>
    <t>https://youtu.be/1lKU0gaYqog</t>
  </si>
  <si>
    <t>Ben Quick #LibertadConstituyente #Demos</t>
  </si>
  <si>
    <t>http://diario6.com/pablo-casado-el-hombre-que-cobra-1-842-euros-en-dietas-por-ser-diputado-por-avila-pero-que-vive-y-vota-en-madrid/</t>
  </si>
  <si>
    <t>World</t>
  </si>
  <si>
    <t>B. Quick llega a un pequeño pueblo tras ser expulsado de otra ciudad, acusado de provocar un incendio. Allí es contratado por W. Varner, dueño y señor del lugar</t>
  </si>
  <si>
    <t>https://m.eldiario.es/_316622b4</t>
  </si>
  <si>
    <t>https://twitter.com/gerardotc/status/1065181940272254977
https://twitter.com/elperiodico/status/1064199052697497601</t>
  </si>
  <si>
    <t>https://ift.tt/2DDPkTn</t>
  </si>
  <si>
    <t>Mairena del Aljarafe, España</t>
  </si>
  <si>
    <t>P B Marbe-Malaga</t>
  </si>
  <si>
    <t>Pablo Casado, el hombre que cobra 1.842 euros en dietas por ser diputado por Ávila pero que vive y vota en 📢 WKN Levantamiento, ORGANIZAR LA DECENCIA, LIBERTAD DE ACCIÓN, DOCTRINA OFICIAL, Tipo, ESCEPTICISMO REPUBLICANO, Madrid</t>
  </si>
  <si>
    <t>Torremolinos, España</t>
  </si>
  <si>
    <t>Me gusta montar en bicicleta con mi gorrito. La vida es bonita si se es libre</t>
  </si>
  <si>
    <t>Pep Solanes</t>
  </si>
  <si>
    <t>#Justicia #MarcaEspaña... Pablo casado y el increíble caso del Master de AmityVille. RT @ErnestoEkaizer: #CosidóGate El portavoz del PP en el Senado no fue el autor del watsapp porque, como dice en el mismo, el que lo escribe estaba en primera línea de la negociación del pacto sobre Marchena. Y Cosidó no estuvo. Se apunta que Pablo Casado es el autor intelectual.</t>
  </si>
  <si>
    <t>Hierbajales del Conde (TVE), Madrid</t>
  </si>
  <si>
    <t>Cuando sientas que todo terminó... Cuando veas que todo esta oscuro... Cuando veas a la gente alejarse... Sal del cine, que se acabó la pelicula.</t>
  </si>
  <si>
    <t>Arquímedes de Siracusa.</t>
  </si>
  <si>
    <t>Pablo Casado, el hombre que cobra 1.842 euros en dietas por ser diputado por Ávila pero que vive y vota en ☑️ CL2 IDEALIDAD REPUBLICANA, LEALTAD POR LA LEALTAD, LIBERTAD EXISTENCIAL, ACCIÓN GRADUAL, ESTAR EN CAMPAÑA, SOLUCIÓN = ACCIÓN, Madrid</t>
  </si>
  <si>
    <t>Soy físico, ingeniero, inventor, astrónomo y matemático. Se conocen pocos detalles de mi vida, pero estoy considerado uno de los científicos más importantes.</t>
  </si>
  <si>
    <t>Tercio Hispánico. #LibertadPolíticaColectiva</t>
  </si>
  <si>
    <t>Pablo Casado, el hombre que cobra 1.842 euros en dietas por ser diputado por Ávila pero que vive y vota en ➡️ NTE Coordinación, investigación pragmática, ORGANIZAR LA DECENCIA, Levantamiento, UNIDAD POLÍTICA, IDEALIDAD REPUBLICANA, Madrid</t>
  </si>
  <si>
    <t>https://m.eldiario.es/_31f0145a</t>
  </si>
  <si>
    <t>La Cruz de Borgoña ha sido incluida en escudos de armas y en banderas de España desde 1506. Como símbolo vexilológico, ha sido el más utilizado hasta 1785.</t>
  </si>
  <si>
    <t>Estado de sitio</t>
  </si>
  <si>
    <t>Cataluña, España</t>
  </si>
  <si>
    <t>Causas para su adopción: Cuando se produzca o pueda producirse una insurrección contra su integridad territorial que no pueda resolverse por otros medios.</t>
  </si>
  <si>
    <t>Lorena Segura</t>
  </si>
  <si>
    <t>Pedro Sánchez exige disculpas a Pablo Casado! "Echan la culpa al PP" en vez de criticar a ERC de escupir a Borell!!!😲Dicen que como "insultan día a día a ministros y ministras y al final la tensión llega a la calle"😹😹Big brother!!  vía @libertaddigital</t>
  </si>
  <si>
    <t>Técnica en Comercio Internacional y comunicación empresarial online.</t>
  </si>
  <si>
    <t>http://www.facebook.com/HABLEMOSDEECONOMIAYCOMERCIO</t>
  </si>
  <si>
    <t>teachingestoy</t>
  </si>
  <si>
    <t>De verdad, qué cosas les pedís a Pablo Casado y a Albert Rivera!!! Condenar el fascismo, el intento de golpe de estado de Tejero y compañía, los cuarenta años de dictadura nazi de Franco.... Ni que fueran demócratas de verdad!!!!</t>
  </si>
  <si>
    <t>Siempre de viaje...buscando...¿qué? Profesor de secundaria, yo aporto, ¿y tu què?</t>
  </si>
  <si>
    <t>http://myreverseblog.wordpress.com</t>
  </si>
  <si>
    <t>Rose Moufarrej</t>
  </si>
  <si>
    <t>Bravo Pablo Casado. Eres Grande !</t>
  </si>
  <si>
    <t>Sevilla, España. 2,018 .</t>
  </si>
  <si>
    <t>Poeta. Ideología : Justicia Social. Amante del Arte en todas sus manifestaciones.Interesada en la Política Mundial , Literatura , Ciencia , Deportes , Historia.</t>
  </si>
  <si>
    <t>Magnolia</t>
  </si>
  <si>
    <t>"Si nacen más tontos, nacen botijos". El hecho mismo, en el supuesto de que no finalizara su acción, de hacer el gesto ya es un INSULTO OFENSIVO Pedro Sánchez exige disculpas a Pablo Casado porque ERC escupa a Borell, por @KettyGarat  vía @libertaddigital</t>
  </si>
  <si>
    <t>En este mundo traidor, nada es verdad ni mentira, todo depende del color, del cristal con que se mira. Ramón de Campoamor. No siempre OK con lo que RT</t>
  </si>
  <si>
    <t>JESÚS ENRIQUE GÓMEZ SÁEZ</t>
  </si>
  <si>
    <t>Pero como puede el doctor fraude., alias *falconeti* comparar al señor Pablo Casado con el deleznable e impresentable Rufián?</t>
  </si>
  <si>
    <t>TORREVIEJA</t>
  </si>
  <si>
    <t>Prejubiilado. Ministerio de Justicia de España</t>
  </si>
  <si>
    <t>Los Carnales ✁ ︻デ═一</t>
  </si>
  <si>
    <t>Cecilio Castro#17MPensionesDignas</t>
  </si>
  <si>
    <t>En esquina lluviosa Girona</t>
  </si>
  <si>
    <t>Por la #República de #Catalunya y la #Dignidad del pueblo #Catalán. #Política - #Noticias - #Catalonia - #Katalonien - #AlphabetSec - #OpDomesticTerrorism</t>
  </si>
  <si>
    <t>http://Republica-Catalunya-Dignidad.CAT</t>
  </si>
  <si>
    <t>https://nzzl.us/X7i82Cn</t>
  </si>
  <si>
    <t>Torrelavega, Cantabria</t>
  </si>
  <si>
    <t>Diplomado Relaciones Laborales 22-11-75, Cantabria, Otra sociedad mas justa y libre es posible, entre todos podemos conseguirlo, Igualdad y justicia Social.</t>
  </si>
  <si>
    <t>http://es-la.facebook.com/cecilio.castro.777</t>
  </si>
  <si>
    <t>Joseleana5461@gmail.</t>
  </si>
  <si>
    <t>Y Pablo casado que quiere hacer con el peñon un parque jurasico, RT @SimancasRafael: Lo siguiente será que Casado acuse a @sanchezcastejon de la derrota de Trafalgar y la pérdida de Cuba y Filipinas... #UnPocoDeSeriedad</t>
  </si>
  <si>
    <t>https://twitter.com/SimancasRafael/status/1064546238362718209
https://www.google.es/amp/s/amp.elmundo.es/andalucia/2018/11/18/5bf1600fe2704ed9718b45f0.html</t>
  </si>
  <si>
    <t>Pau ║⭐║Independència 🎗</t>
  </si>
  <si>
    <t>Sánchez a Casado: "La deriva del PP no pot implicar a les institucions"</t>
  </si>
  <si>
    <t>https://www.elnacional.cat/ca/politica/pedro-sanchez-pablo-casado-poder-judicial_326823_102.html</t>
  </si>
  <si>
    <t>fernando sancho</t>
  </si>
  <si>
    <t>Teià (Catalunya)</t>
  </si>
  <si>
    <t>Enginyer Superior de Telecos. Enamorat de la vida. Carpe diem! In-Inde-Independència!!! Catalunya lliure! ||★|| #Sí #DUI</t>
  </si>
  <si>
    <t>HOY CON TODOS USTEDES EN COSAS DE NAZIS: Las 20 frases más surrealistas de Pablo Casado. #Harvard  vía @cataladigitalok</t>
  </si>
  <si>
    <t>zaragoza</t>
  </si>
  <si>
    <t>director de La8Zaragoza TV</t>
  </si>
  <si>
    <t>El Curandero</t>
  </si>
  <si>
    <t>CUANDO EL CINISMO ADQUIERE TINTES GROTESCOS, DE UN VERDADERO PROBLEMA PARA ESPAÑA, CON UN SÁNCHEZ PSICÓPATA, NARCISISTA Y SIN ESCRÚPULOS. (Entren y lean) Pedro Sánchez exige disculpas a Pablo Casado porque ERC escupa a Borell - Libertad Digital</t>
  </si>
  <si>
    <t>Republicà Convençut 🎗</t>
  </si>
  <si>
    <t>Maximus</t>
  </si>
  <si>
    <t>Esto es lo que hay... La demencia viaja a Valladolid en Falcon. Pedro Sánchez exige disculpas a Pablo Casado porque ERC escupa a Borell, por @KettyGarat  vía @libertaddigital</t>
  </si>
  <si>
    <t>#FemXarxa antifeixista !!</t>
  </si>
  <si>
    <t>Busquemos coincidencias</t>
  </si>
  <si>
    <t>Pablemos</t>
  </si>
  <si>
    <t>Pablo Casado si quiere que el PP sobreviva en lugar de apoyar tanto a Feijoo debería echarle. Feijoo es un nacionalista gallego, que aplica en Galicia toda la ideología de género impulsada por el lobby feminista y el lobby LGTBI. RT @elmundoes: Galicia prohibirá a colegios con uniforme que las niñas lleven falda por obligación</t>
  </si>
  <si>
    <t>Español. Contrario al Marxismo económico y al Marxismo Cultural.</t>
  </si>
  <si>
    <t>Celia Santaella.</t>
  </si>
  <si>
    <t>La mejor persona para hacer propaganda electoral la tiene el PSOE y es Pablo Casado.</t>
  </si>
  <si>
    <t>Inestable, zurda, incrédula y muyyy culé!!</t>
  </si>
  <si>
    <t>manuel llamas</t>
  </si>
  <si>
    <t>Pedro Sánchez exige disculpas a Pablo Casado porque ERC escupa a Borell, por @KettyGarat  Y así todo señores... Es capaz de hundir al PSOE en el fango y quemar a sus ministros en la pira pública por un día más en el poder. Este tipo es muy peligroso</t>
  </si>
  <si>
    <t>Periodista, redactor jefe de Economía de Libertad Digital y Libre Mercado, miembro del Instituto Juan de Mariana.</t>
  </si>
  <si>
    <t>http://www.libremercado.com/</t>
  </si>
  <si>
    <t>PARTIDO SOLIDARIDAD</t>
  </si>
  <si>
    <t>EL DOCTOR #CUMFRAUDE EN ESTADO PURO Pedro Sánchez exige disculpas a Pablo Casado porque ERC escupa a Borell</t>
  </si>
  <si>
    <t>La situación en España es cada vez más grave. Recomendamos que os unáis a VOX. Y que ayudéis a Venezuela, Nicaragua y Cuba a salir de la dictadura comunista</t>
  </si>
  <si>
    <t>Oyd Opinión y debate 🇪🇸</t>
  </si>
  <si>
    <t>¿X qué tiene q pedir disculpas Pablo Casado? ¿Le dijo a Jordi Salvador q escupiera Borrell? Mire, Sr Sánchez, exiga disculpas a sus socios q son los protagonistas dl hecho. Deje d mentir y tergiversar, xa rendir pleitesía a los antiespaña con los q piensa q puede gobernar. RT @latrincheraaudi: Pedro Sánchez exige disculpas a Pablo Casado porque ERC escupa a Borell</t>
  </si>
  <si>
    <t>https://twitter.com/latrincheraaudi/status/1065361216435036160
https://www.libertaddigital.com/espana/2018-11-21/pedro-sanchez-pide-a-casado-y-rufian-que-pidan-discupas-por-el-escupitajo-de-erc-a-borell-1276628638/</t>
  </si>
  <si>
    <t>Pasión por el debate político, por la importancia que tiene la política en nuestra vida cotidiana.</t>
  </si>
  <si>
    <t>http://www.opinionydebate.es</t>
  </si>
  <si>
    <t>"La tesitura electoral en Andalucía se parece a una película de Michael Bay: explosiones y efectos especiales sin ton ni son para que la historia, que no te cuenta absolutamente nada de principio a fin, tenga un poco de gracia" Muy bueno esto de @manutv</t>
  </si>
  <si>
    <t>Limoncete Alcalino</t>
  </si>
  <si>
    <t>- Señor Pablo Casado. ¿Puede confirmar o desmentir que su partido tiene intención de pactar con VOX si obtiene escaños? + Le seré franco : ¡Arriba España!</t>
  </si>
  <si>
    <t>Cervecero, escéptico, programador a sueldo de la farmafia, charro, hophead, ateo, tricornier. Soy un limón alcalino la mar de majo. Y de @illborregos</t>
  </si>
  <si>
    <t>NNGG Vejer</t>
  </si>
  <si>
    <t>PABLO CASADO EN VEJER</t>
  </si>
  <si>
    <t>https://www.facebook.com/812222442145573/posts/2172226446145159/</t>
  </si>
  <si>
    <t>Vejer de la Frontera, Cádiz.</t>
  </si>
  <si>
    <t>Cuenta oficial de las Nuevas Generaciones del Partido Popular de Vejer de la Frontera. ¡Viva España y Viva Vejer! 🇪🇸</t>
  </si>
  <si>
    <t>https://www.facebook.com/NNGGVejer</t>
  </si>
  <si>
    <t>Pablo Casado y su partido PP, Albert Rivera y Ciudadanos evitar romper con el franquismo. RT @gsemprunmdg: EL PESEBRE 22N #FelizJueves #comerpescado #CaminoDeLaRepública El FMI #Portada #Portadas #EnPortada</t>
  </si>
  <si>
    <t>https://twitter.com/gsemprunmdg/status/1065362622613196800</t>
  </si>
  <si>
    <t>https://pbs.twimg.com/media/DsjtpDGXcAI-lxT.jpg</t>
  </si>
  <si>
    <t>OsquirrínDJ</t>
  </si>
  <si>
    <t>Quien debería pedir disculpas es @sanchezcastejon por venderse a los que odian a España🇪🇸 a cambio de palacio🏰, helicóptero🚁, Avión✈ y cientos de enchufados. Pedro Sánchez exige disculpas a Pablo Casado porque ERC escupa a Borell - Libertad Digital</t>
  </si>
  <si>
    <t>Castilla y León, España</t>
  </si>
  <si>
    <t>Máster en Teatro con TFM. Portavoz Asuntos Menores del @PSOE PLURINACIONAL Me mola mazo salir de copas con los colegas. Fan de KIKO RIVERA. Alcalde a ratos.</t>
  </si>
  <si>
    <t>Mosquito Serlik</t>
  </si>
  <si>
    <t>Canción en catalán, un negro a Eurovisión... Pablo Casado está ahora mismo con la vena del cuello como una chistorra.</t>
  </si>
  <si>
    <t>Groenlandia</t>
  </si>
  <si>
    <t>Da igual. Estoy aquí.</t>
  </si>
  <si>
    <t>http://nepomundos.com</t>
  </si>
  <si>
    <t>🙉🙈🙊</t>
  </si>
  <si>
    <t>Estamos a pocos tuits de ver un tuit con una foto de Pablo Casado marcando paquete que diga "Dime qué quieres que te legisle". RT @PPopular: RT si tú también hubieras expulsado hoy del Congreso a Gabriel Rufián.</t>
  </si>
  <si>
    <t>Y a ti que te importa?</t>
  </si>
  <si>
    <t>Coooño! Iba a escribir algo en la bio, pero..., están de coña, no? Pretenden que la gente cuente algo medianamente congruente sobre su vida en tan sólo 160 cara</t>
  </si>
  <si>
    <t>http://www.ascodevida.com/usuarios/parado</t>
  </si>
  <si>
    <t>Eustaquiano</t>
  </si>
  <si>
    <t>Pedro Sánchez exige disculpas a Pablo Casado porque ERC escupa a Borell</t>
  </si>
  <si>
    <t>Me gusta el arte,la moda,disfruto admirando la estética...</t>
  </si>
  <si>
    <t>Scaramouche</t>
  </si>
  <si>
    <t>El burro delante para que no se espante...Dirás "Pablo Casado o yo", digo yo... RT @Rafa_Hernando: No, si ahora la culpa del lamentable espectáculo entre Rufian y Borrell la voy a tener yo, o Pablo Casado.</t>
  </si>
  <si>
    <t>https://twitter.com/Rafa_Hernando/status/1065292511147687937
https://twitter.com/europapress/status/1065197352049356801</t>
  </si>
  <si>
    <t>Norte de España</t>
  </si>
  <si>
    <t>Estoy solo y no hay nadie en el espejo. -Jorge Luis Borges-</t>
  </si>
  <si>
    <t>Luiski Friki</t>
  </si>
  <si>
    <t>Parece que con el VAR del Congreso de los Diputados, Pedro Sánchez va a decir que Pablo Casado escupió a Borrell, a este ritmo.</t>
  </si>
  <si>
    <t>https://pbs.twimg.com/media/DsjtLE5X4AEzXQW.jpg</t>
  </si>
  <si>
    <t>Jerez de la Frontera, España</t>
  </si>
  <si>
    <t>Desarollador Web/Multimedia, Dinamizador RRSS Social Media Manager Uso la ironía como el humor de la inteligencia</t>
  </si>
  <si>
    <t>Ernesto Ekaizer</t>
  </si>
  <si>
    <t>Escritor y periodista. Analista y reportero en los diarios EL PAÍS y ARA; Las Mañanas Cuatro, TeleMadrid, la SER, Versió RAC1 y Boulevard Radio Euskadi.</t>
  </si>
  <si>
    <t>WalkingDep</t>
  </si>
  <si>
    <t>Si Pablo Casado se quedase sin trabajo, ¿Dónde creis que trabajaría? ¿En un bufete de abogados? O ¿enchufado por el partido en alguna empresa?</t>
  </si>
  <si>
    <t>Claridad meridiana</t>
  </si>
  <si>
    <t>Eddy Smith</t>
  </si>
  <si>
    <t>El único que debe pedir disculpas e ir a la cárcel es @sanchezcastejon por golpista, delitos de odio y cómplice de terroristas. Que vergüenza de presidente. #EleccionesYa : Pedro Sánchez exige disculpas a Pablo Casado porque ERC escupa a Borell</t>
  </si>
  <si>
    <t>España, Europa</t>
  </si>
  <si>
    <t>Opiniones liberales de un aficionado apasionado de la política, la economia, el cine y amante de la libertad del individuo, la justicia y la democracia.</t>
  </si>
  <si>
    <t>Amanita Dostias</t>
  </si>
  <si>
    <t>Además de cornudos, apaleados. Pedro Sánchez exige disculpas a Pablo Casado porque ERC escupa a Borrell.  vía @libertaddigital</t>
  </si>
  <si>
    <t>Raro es que Pablo Casado no haya pedido que se condene la democracia también. Condena a cualquier sistema político que no sea el que Peppa Pig y él idearon en su cabeza.</t>
  </si>
  <si>
    <t>juanfrem53</t>
  </si>
  <si>
    <t>Como se dice vulgarmente, ya tiene el culo "como un bebedero de patos". 🤗🤗🤗 Pedro Sánchez exige disculpas a Pablo Casado porque ERC escupa a Borell, por @KettyGarat  vía @libertaddigital</t>
  </si>
  <si>
    <t>Demócrata. Contra las mentiras de las izquierdas, nacionalistas e iluminados.</t>
  </si>
  <si>
    <t>El escupitajo del diputado de ERC habita donde residen los sueños como la piedra de Albert Rivera en Alsasua y el Máster de Pablo Casado.</t>
  </si>
  <si>
    <t>No soy facha, soy español</t>
  </si>
  <si>
    <t>Si es que no se puede ser más manipulador. Pedro Sánchez exige disculpas a Pablo Casado porque ERC escupa a Borell</t>
  </si>
  <si>
    <t>Español de pura cepa. Amante de España y de sus gentes.</t>
  </si>
  <si>
    <t>Pilar García</t>
  </si>
  <si>
    <t>Pedro Sánchez exige disculpas a Pablo Casado porque ERC escupa a Borell, por @KettyGarat  vía @libertaddigital</t>
  </si>
  <si>
    <t>Gipuzkoa</t>
  </si>
  <si>
    <t>Maria🇪🇸</t>
  </si>
  <si>
    <t>¡Que cara más dura tiene!! Pedro Sánchez exige disculpas a Pablo Casado porque ERC escupa a Borell, por @KettyGarat  vía @libertaddigital</t>
  </si>
  <si>
    <t>Luis Leonardo Villalba</t>
  </si>
  <si>
    <t>https://www.libertaddigital.com/espana/2018-11-21/pedro-sanchez-pide-a-casado-y-rufian-que-pidan-discupas-por-el-escupitajo-de-erc-a-borell-1276628638/#comentarios1276628638</t>
  </si>
  <si>
    <t>Caracas</t>
  </si>
  <si>
    <t>LA TIRANÍA NO PUEDE DERROTAR EL PODER DE LAS IDEAS.</t>
  </si>
  <si>
    <t>Vamos a ver golpista Sánchez contra las urnas del pueblo y plagioso mentiroso:¿Tú eres subnormal o estás loco? Pedro Sánchez exige disculpas a Pablo Casado porque ERC escupa a Borell, por @KettyGarat  vía @libertaddigital</t>
  </si>
  <si>
    <t>eva bg</t>
  </si>
  <si>
    <t>pepa vivas</t>
  </si>
  <si>
    <t>Tonto o se lo hace !?? --Pedro Sánchez exige disculpas a Pablo Casado porque ERC escupa a Borell, por @KettyGarat  vía @libertaddigital</t>
  </si>
  <si>
    <t xml:space="preserve">#VIVAESPAÑA </t>
  </si>
  <si>
    <t>#España !!! #UE</t>
  </si>
  <si>
    <t>MRosa_🐾🇪🇸</t>
  </si>
  <si>
    <t>Non é o mesmo chamar o Demo, que velo vir.</t>
  </si>
  <si>
    <t>#elintermedio Estos dos, Pablo Casado y Albert FALANGITO Rivera dicen k ellos no condenan al Franquismo y mucho menos tocar al dictador Francisco Franco "xq eso es cosa de rojos PSOE y populistas UP"😠😠 #CaminoDeLaRepública ❤️💛💜 #BroncaCongresoARV</t>
  </si>
  <si>
    <t>https://pbs.twimg.com/media/DsjmAs8XgAARjKh.jpg</t>
  </si>
  <si>
    <t>homopestis</t>
  </si>
  <si>
    <t>#FirstDates769 Adrián quiere un Máster, que hable con Pablo Casado que se lo afina</t>
  </si>
  <si>
    <t>Contra la estupidez, hasta los dioses luchan en vano. Los derechos y libertades o se usan o se pierden #SanidadPublica #leydedependencia #Educacionuniversal</t>
  </si>
  <si>
    <t>Noemí Noguerol 🇪🇸</t>
  </si>
  <si>
    <t>Pedro Sánchez exige disculpas a Pablo Casado y Rufián porque ERC escupa a Borell, por @KettyGarat  vía @libertaddigital</t>
  </si>
  <si>
    <t>A Coruña, España</t>
  </si>
  <si>
    <t>Abogada mediadora, liberal convencida Me gustan los libros, la música, la informatica... Soy PRO-VIDA. http://damacristal84.wordpress.com</t>
  </si>
  <si>
    <t>http://foros.foxinver.com</t>
  </si>
  <si>
    <t>Tartessos 🎗️</t>
  </si>
  <si>
    <t>En casa de Pablo Casado.</t>
  </si>
  <si>
    <t>https://pbs.twimg.com/media/DsjiY-oXQAENznW.jpg</t>
  </si>
  <si>
    <t>Hell, MI</t>
  </si>
  <si>
    <t>Acuario, amante de la libertad y abierto a nuevas experiencias.</t>
  </si>
  <si>
    <t>El presidente del Gobierno también ha hecho referencia al presidente del PP y niega que haya roto las relaciones con el PP sino que lo ha hecho con las políticos que «usan la palabra para difamar» como cuando Pablo Casado le llamó «golpista»</t>
  </si>
  <si>
    <t>http://espana.abc.es/ccqrs2</t>
  </si>
  <si>
    <t>VICENTE RAMIREZ</t>
  </si>
  <si>
    <t>RADIO CORAZÓN VALENCIA "NOTICIAS": Justicia: Pablo Casado propone que los jueces elij...</t>
  </si>
  <si>
    <t>https://radiocorazonvalencianoticias.blogspot.com/2018/11/justicia-pablo-casado-propone-que-los.html?spref=tw</t>
  </si>
  <si>
    <t>http://radiocorazondigital.blogspot.com.es/</t>
  </si>
  <si>
    <t>Jose Alzola</t>
  </si>
  <si>
    <t>Opinión-Martín Ru: ‘Pablo Casado olvidó su primer discurso’</t>
  </si>
  <si>
    <t>https://canariasopina.com/2018/11/21/opinion-martin-ru-pablo-casado-olvido-su-primer-discurso/</t>
  </si>
  <si>
    <t>Telde las palmas GC</t>
  </si>
  <si>
    <t>Ana Vergara</t>
  </si>
  <si>
    <t>Si me parece genial que tengáis una ideología política de derechas y lo pongáis en práctica ¿pero qué apoyéis a Pablo Casado? que es profundamente tonto y demuestra su mínima capacidad de conocimientos en cada intervención pública que hace</t>
  </si>
  <si>
    <t>Volver a saltar con gente afín hasta el confín. Jurista. Jugadora de balonmano.</t>
  </si>
  <si>
    <t>Santy García</t>
  </si>
  <si>
    <t>Pablo Casado toma constitución por la termomix</t>
  </si>
  <si>
    <t>Cuenta vinculada a mi Facebook, escribo allí, y se enlaza aqui, no me describo, soy portavoz de mis ideas, no represento a nadie, no me juzgues, yo no lo haría</t>
  </si>
  <si>
    <t>El Látigo</t>
  </si>
  <si>
    <t>Dice Ana Pastor que va a eliminar las palabras golpista y fascista del libro de sesiones cuando se digan como insultos. Pues cuando Pablo Casado llamó golpista a Pedro Sánchez, bien calladita se quedó. Sería un piropo ese día. #falsaqueeresmufalsa</t>
  </si>
  <si>
    <t>Galiza</t>
  </si>
  <si>
    <t>Entro en Twitter para fustigar las injusticias. Trabajo, voy a tener.</t>
  </si>
  <si>
    <t>Miguel Angel enD</t>
  </si>
  <si>
    <t>Que dice Pablo Casado que hay que ilegalizar los partidos Comunistas, después de dos horas buscando el partido comunista, me he dado cuenta que tiene razón... Hay comunistas infiltrados.</t>
  </si>
  <si>
    <t>https://pbs.twimg.com/media/DsjbrZFXQAAC5cD.jpg</t>
  </si>
  <si>
    <t>Aragón, España</t>
  </si>
  <si>
    <t>¿Filósofo? No , ¿Escritor? Tampoco , ¿Político? Ni de coña, ¿Actor? Talvez. 🎬🚷Antifascista.</t>
  </si>
  <si>
    <t>https://www.instagram.com/miguelangelend/</t>
  </si>
  <si>
    <t>Sr Perplejo</t>
  </si>
  <si>
    <t>Seguro que la dirección del PSOE tampoco hubiera visto un escupitajo de Pablo Casado a alguna de sus ministras.</t>
  </si>
  <si>
    <t>Llarenista de la pista</t>
  </si>
  <si>
    <t>La massa ictèrica</t>
  </si>
  <si>
    <t>Durante la transición se legalizó el PCE. Pero Pablo Casado es tan viejoven que si fuera por él, aún estaría prohibido.  via @eldiarioes</t>
  </si>
  <si>
    <t>Vilafranca del Penedès, Catalunya</t>
  </si>
  <si>
    <t>Pare, advocat i bloquejat pels demòcrates de @socielistes_cat</t>
  </si>
  <si>
    <t>kiiroi 😼 kenshi 🐺 🤜🤛 🧡</t>
  </si>
  <si>
    <t>Pablo Casado se define contra la conspiración roja judeo-masónica. RT @carolacaracola5: ¿Por qué no piden directamente que se ilegalice la democracia y acabamos antes? 😑😑 👇👇 El PP pide la ilegalización de organizaciones "comunistas y populistas" como requisito para condenar el franquismo  Congreso</t>
  </si>
  <si>
    <t>https://twitter.com/carolacaracola5/status/1065236079073263616
https://m.eldiario.es/_31f0145a</t>
  </si>
  <si>
    <t>https://pbs.twimg.com/media/Dsh6kRfWwAA0EDv.jpg</t>
  </si>
  <si>
    <t>Persona desinteresada. 🖥️📈🌎💔</t>
  </si>
  <si>
    <t>http://archive.org/search.php?query=%22Juan%20Manuel%20Dato%22</t>
  </si>
  <si>
    <t>Versus ciudadano cer</t>
  </si>
  <si>
    <t>No podía ser de otra manera =&gt; Denunciado el Fiscal que pidió el archivo del caso Máster de Pablo Casado</t>
  </si>
  <si>
    <t>http://diario16.com/denunciado-fiscal-pidio-archivo-del-caso-master-pablo-casado/?fbclid=IwAR1edX1ipMjybHMD2NsgOOCktjV6_0DRBEx5tpDYjjxN19ps1A9xgojAF6A</t>
  </si>
  <si>
    <t>https://pbs.twimg.com/media/DsjXTrMXQAE0HlS.jpg</t>
  </si>
  <si>
    <t>Ciudadano sin excusas para expresar con libertad su pensamiento, sin renunciar a la libertad esencial de escuchar a los demás.</t>
  </si>
  <si>
    <t>🎗️Que🎗️se jodan🎗️los🎗️fachas🎗️</t>
  </si>
  <si>
    <t>A ver como se lo decimos a Pablo Casado, la Ñ es republicana!!! 🤣🤣🤣🤣🤣🤣🤣🤣🤣🤣🤣🤣🤣🤣🤣🤣🤣🤣🤣🤣🤣🤣🤣🤣🤣🤣🤣🤣 #CaminoDeLaRepública #RepúblicaLlegando #EnterrarElFranquismo #TodosConJuan</t>
  </si>
  <si>
    <t>https://pbs.twimg.com/media/DsjXSoMXcAA87gK.jpg</t>
  </si>
  <si>
    <t xml:space="preserve">Polònia </t>
  </si>
  <si>
    <t>Directo a la #IIIRepublica, o lo que es lo mismo, saliendo de #Francoland Bloqueado por @Albert_Rivera, vete tu a saber si mi nombre le ha ofendido</t>
  </si>
  <si>
    <t>રΘɖરι✌🏽</t>
  </si>
  <si>
    <t>- Pablo Casado: Convoquen elecciones. - Pedro Sánchez: ¡DÉJENSE DE TONTERÍAS Y PROPONGAN ALGO QUE BENEFICIE A LOS ANDALUCES Y ANDALUZAS Convocar elecciones.</t>
  </si>
  <si>
    <t>Community of Madrid, Spain</t>
  </si>
  <si>
    <t>Apasionado del mundo de la televisión 📺. ✝️ Cristiano.</t>
  </si>
  <si>
    <t>Jaime de Berenguer</t>
  </si>
  <si>
    <t>Pedro Sánchez que nos vende que es muy dialogante es el que rompió relaciones con el PP y Pablo Casado. Es que es fraudulento hasta para eso.</t>
  </si>
  <si>
    <t>Digo lo que pienso, a veces me equivoco. “Hay que apartar de nosotros el mal gusto de querer coincidir con muchos” Nietzsche.Liberal. Concejal de Madrid 2011-15</t>
  </si>
  <si>
    <t>Moncloa Noticias</t>
  </si>
  <si>
    <t>Líder del PP, Pablo Casado, critica al socialista Pedro Sánchez por ....</t>
  </si>
  <si>
    <t>http://bit.ly/2AlhwXV</t>
  </si>
  <si>
    <t>Noticias del ocupante de la Moncloa: Pedro Sánchez (PSOE)</t>
  </si>
  <si>
    <t>Antonio</t>
  </si>
  <si>
    <t>veis como este viene a regenerar( su cuenta )</t>
  </si>
  <si>
    <t>Vallekas City      ciudad sin Rey</t>
  </si>
  <si>
    <t>Ateo,socialista ( pero no del PSOE) aprendiz d todo oficial de nada, toda la vida luchando por los derechos, con el mismo master q Cifuentes y posgrado jar bar</t>
  </si>
  <si>
    <t>Sergi Albarran Nadal</t>
  </si>
  <si>
    <t>Pablo Casado ha logrado lo imposible.... hacer moderado a Rajoy!</t>
  </si>
  <si>
    <t>Tarragona, Catalunya</t>
  </si>
  <si>
    <t>un indepe més...</t>
  </si>
  <si>
    <t>Eagles Spain</t>
  </si>
  <si>
    <t>Eagles Spain T4x18 con @pablo_casado, @Phigels, @dsanchezcuellar y @toniblay. Nos pueden escuchar en @iTunes, @ivoox y por supuesto, en @SBR24horas #FlyEaglesFly #EaglesEsp #NFLEsp</t>
  </si>
  <si>
    <t>http://www.ivoox.com/30241713</t>
  </si>
  <si>
    <t>Philadelphia, PA</t>
  </si>
  <si>
    <t>Cuenta de apoyo a los Philadelphia Eagles (@Eagles) en español. Toda la actualidad y noticias. #FlyEaglesFly Dirige: @mynemesix Coordina: @Xavier__Martin</t>
  </si>
  <si>
    <t>http://www.spanishbowl.com/Equipos/philadelphia-eagles/</t>
  </si>
  <si>
    <t>Mayte</t>
  </si>
  <si>
    <t>Y qué entenderá Pablo Casado por comunista y populista? Lo que nos vamos a reír cuando lo defina. Y más aún cuando @Xuxipc lo comente 🤣 RT @iescolar: El PP ponía como condición la ilegalización de organizaciones "comunistas y populistas" para condenar la dictadura</t>
  </si>
  <si>
    <t>https://twitter.com/iescolar/status/1065234262889283584
https://www.eldiario.es/politica/PP-ilegalizacion-organizaciones-comunistas-populistas_0_837817434.html</t>
  </si>
  <si>
    <t>Móstoles, España</t>
  </si>
  <si>
    <t>Feminista, republicana, atea, de izquierdas, escritora aficionada y parte de la Resistencia. Sueño con un mundo más justo. Es tiempo de ilusión con Podemos!</t>
  </si>
  <si>
    <t>http://irethm.blogspot.com/</t>
  </si>
  <si>
    <t>Karlos</t>
  </si>
  <si>
    <t>Pablo Casado evita calificar a VOX como un partido de extrema derecha. Normal, un padre no rechaza a un hijo. Albert Rivera también, un hermano no rechaza a otro. Parece muy claro que PP, Cs y VOX son lo mismo. RT @La_SER: Albert Rivera evita calificar a Vox como un partido de ultraderecha La entrevista completa del líder de @CiudadanosCs en @HoyPorHoy con @PepaBueno →</t>
  </si>
  <si>
    <t>https://twitter.com/La_SER/status/1065154211707404288
http://cadenaser.com/programa/2018/11/20/hoy_por_hoy/1542712340_800654.html</t>
  </si>
  <si>
    <t>https://pbs.twimg.com/media/DsgwGuqU8AEeA9d.jpg</t>
  </si>
  <si>
    <t>cambiando el mundo a cañonazos...de palabras. Uno más en el mundo. Coportavoz de Zaragoza en Común</t>
  </si>
  <si>
    <t>Se la han sacado, hay que reconocerlo jajajjaja Pablo Casado propone invadir Polonia para hacer España más grande  vía @eljueves</t>
  </si>
  <si>
    <t>https://www.eljueves.es/news/pablo-casado-propone-invadir-polonia-para-hacer-espana-mas-grande_2959</t>
  </si>
  <si>
    <t>Jaime Montes</t>
  </si>
  <si>
    <t>Cuando se repite una y otra vez "¿Para qué me sirve la historia?" me enervo. Lo más peligroso no es lo que dice Pablo Casado, sino la gente que, por desconocimiento, se lo cree. RT @elperiodico: Pablo Casado: "Antes marcaban con estrellas amarillas, ahora con lazos"</t>
  </si>
  <si>
    <t>Madrid-Getafe</t>
  </si>
  <si>
    <t>Pregúntame sobre un tema y te diré qué opino... o tal vez no, porque las personas tenemos derecho a dudar | Periodismo y Comunicación Audiovisual-UC3M</t>
  </si>
  <si>
    <t>https://cabezacorazon.wordpress.com/</t>
  </si>
  <si>
    <t>Pablo Casado: "haré lo posible para impedir que el Salario Mínimo Interprofesional suba a 900 euros"</t>
  </si>
  <si>
    <t>http://www.librediariodigital.net/texto-diario/mostrar/1207785/pablo-casado-hare-posible-impedir-salario-minimo-interprofesional-suba-900-euros</t>
  </si>
  <si>
    <t>Turpin</t>
  </si>
  <si>
    <t>Pedro Sánchez critica a Pablo Casado pq comió con Juanma Moreno en un McDonald's junto a sus esposas y sus niños pequeños.@sanchezcastejon es un zafio. Qué pasa? No pueden comer dónde quieran? No trabajan andaluces allí? Le molesta q McDonald's invierta en España? Es un subnormal</t>
  </si>
  <si>
    <t>Allí donde esté.</t>
  </si>
  <si>
    <t>Nací,+por obligción que por ganas, el mismo día que mi madre me parió,y espero morir bien hidratado y vestido de calle.De peque sobreviví a la ingesta de Tang.</t>
  </si>
  <si>
    <t>Pablo Casado "EL CONVALIDADO PLAGIADOR SALVINIANO Y PRESCRITO" copia una ley derogada para reformar el Consejo General del Poder Judicial. Como tampoco fue a clase ese día hace un "copia y pega" y tan pancho.</t>
  </si>
  <si>
    <t>https://elpais.com/politica/2018/11/20/actualidad/1542754334_277796.html</t>
  </si>
  <si>
    <t>Indignados Venezuela</t>
  </si>
  <si>
    <t>📸Te animamos a seguir el perfil de _Instagram_ de *Pablo Casado.* Para ver todas sus fotos, stories e IGtv pincha en este enlace y después dale a “Seguir”. Gracias! 👇🏻👇🏻 📸</t>
  </si>
  <si>
    <t>https://www.instagram.com/pablocasadoblanco/</t>
  </si>
  <si>
    <t>Gochozolano</t>
  </si>
  <si>
    <t>#YosoyAutoconvocados #TeamVene10 #TeamHP #Autoconvocados</t>
  </si>
  <si>
    <t>Antonio Bernabé</t>
  </si>
  <si>
    <t>👉 Nueva explicada en el Congreso de Pablo Casado al Dr. "DESASTRE" (¡ni pestañea). ▪️Dentro 🎥 👇👇👇</t>
  </si>
  <si>
    <t>https://www.facebook.com/bernabe.siglo21/videos/2196891027008744/</t>
  </si>
  <si>
    <t>Alcalde de Benejúzar ~ Presidente Comité de Alcaldes ~ @alicantepp</t>
  </si>
  <si>
    <t>http://antoniobernabe.net</t>
  </si>
  <si>
    <t>Cuenta @mipiqueras que la propuesta de Pablo Casado de dejar a los jueces la elección del #CGPJ genera recelos en parte del PP, que ve riesgo de gremialismo y corporativismo</t>
  </si>
  <si>
    <t>EntornoInteligente</t>
  </si>
  <si>
    <t>Pablo Casado dijo que el Gobierno español quiere "llevar a Maduro a la Corte Penal Internacional"</t>
  </si>
  <si>
    <t>https://goo.gl/74QnhT</t>
  </si>
  <si>
    <t>https://pbs.twimg.com/media/DsjLbt2UcAAWTyk.jpg</t>
  </si>
  <si>
    <t>http://www.EntornoInteligente.com Más noticias imposible. Todas las noticias en un sólo lugar. Síguenos, recomiéndanos y haz RT a todas nuestras noticias.😎</t>
  </si>
  <si>
    <t>http://www.EntornoInteligente.com</t>
  </si>
  <si>
    <t>Franc</t>
  </si>
  <si>
    <t>Pedro Sánchez y Pablo Casado trabajarán como jueces por las tardes mientras no se escoja a un nuevo presidente del Poder Judicial "A NOSOTROS NO NOS CUESTA NADA", HAN DICHO LOS POLÍTICOS, DISPUESTOS A HACER ESE FAVOR</t>
  </si>
  <si>
    <t>https://pbs.twimg.com/media/DsjKM14WkAAvCXA.jpg</t>
  </si>
  <si>
    <t>""Sin amo, ni soberano""</t>
  </si>
  <si>
    <t>manu fa</t>
  </si>
  <si>
    <t>Denunciado el Fiscal que pidió el archivo del caso Máster de Pablo Casado - Diario16</t>
  </si>
  <si>
    <t>argentina</t>
  </si>
  <si>
    <t>http://oficios2011.blogspot.com.ar</t>
  </si>
  <si>
    <t>Carlos Serrano Hermo</t>
  </si>
  <si>
    <t>Pablo Casado ha dicho hoy que para que ellos condenen el franquismo habría primero que ilegalizar a los partidos comunistas Nosotros y nosotras estaremos esperando. ¡¡Nos tendréis enfrente!! #nopasaran</t>
  </si>
  <si>
    <t>Cuestionando todo http://mudosordoyciego.blogspot.co...</t>
  </si>
  <si>
    <t>http://www.facebook.com/MudoSordoYCiego</t>
  </si>
  <si>
    <t>El chico de la guitarra 🎸</t>
  </si>
  <si>
    <t>Mira que hay que ser tonto para quedar como el tonto discutiendo con Pablo Casado. Oye, pues Gerardo Tecé lo consigue.</t>
  </si>
  <si>
    <t>Zaragotham</t>
  </si>
  <si>
    <t>Guitarrista rizoso lvl 27. Indie Dev. Tengo los dedos cortos y la lengua afilada. Bordeadorable y friki. Recomiendo la pizza de pollo como antidepresivo.</t>
  </si>
  <si>
    <t>PSOE de Fondón</t>
  </si>
  <si>
    <t>☝🏻 Pablo Casado lanza una pregunta sobre #Andalucía en el Congreso de los Diputados y miente 10 veces en 25 segundos ✌🏻 Pedro Sánchez Pérez-Castejón habla claro: "La respuesta a su pregunta se la van dar los andaluces y andaluzas el #2D" 💪🏻😉 Basta de insultar a nuestra tierra</t>
  </si>
  <si>
    <t>pic.twitter.com/YQbOeceL00</t>
  </si>
  <si>
    <t>Fondón, España</t>
  </si>
  <si>
    <t>Twitter oficial del PSOE del Municipio de Fondón (Almería). Conoce la Agrupación y Grupo Municipal, así como toda la actualidad. Compromiso con la transparencia</t>
  </si>
  <si>
    <t>http://psoefondon.blogspot.com.es/</t>
  </si>
  <si>
    <t>Julio F. Artillo 🇪🇸</t>
  </si>
  <si>
    <t>Bravoooo!!!. Ya ha empezado #Twitter a CENSURARME con un vídeo oficial del PP de Pablo Casado a Pedro Sánchez en el Congreso. Ya debo ser un peligroso "influencer" de la derecha. No sabía que fuera yo tan importante. No me voy a callar. Es un clamor #EleccionesYa 🇪🇸🇪🇺</t>
  </si>
  <si>
    <t>Comunidad Valenciana, España</t>
  </si>
  <si>
    <t>Un quijote moderno y patriota que no soporta la mentira ni la injusticia.</t>
  </si>
  <si>
    <t>MANUEL #YoConPedro ✊🌹</t>
  </si>
  <si>
    <t>La Sra Ana Pastor no retiró la palabra "golpista" cuando la dijo Pablo Casado al Presidente del Gobierno.</t>
  </si>
  <si>
    <t>Sierra de Segura, Jaén</t>
  </si>
  <si>
    <t>Militante del PSOE (Izquierda SOCIALISTA) 🔴. Republicano♥️💛💜. Ateo☠️. Animalista. #YoConPedro 🌹. NI OLVIDO, NI PERDONO 👊. #Followback a SOCIALISTAS 🌹</t>
  </si>
  <si>
    <t>☝🏻 Pablo Casado lanza una pregunta sobre #Andalucía en el Congreso de los Diputados y miente 10 veces en 25 segundos ✌🏻 Pedro Sánchez Pérez-Castejón habla claro: "La respuesta a su pregunta se la van dar los...</t>
  </si>
  <si>
    <t>https://www.facebook.com/psoefondon/videos/2225190841140280/</t>
  </si>
  <si>
    <t>Fernando</t>
  </si>
  <si>
    <t>A personas como este socialista #ErnestLluch , el PP (partido condenado por corrupción) con Rajoy, les dijo que “traicionaban a los muertes” y con Pablo Casado, acusados de golpistas Los socialistas somos los garantes de la convivencia y el respeto en #libertad RT @p_marcote: ¡Que no se enteran! ¡Gritad más, que gritáis poco! ¡Gritad, porque mientras gritéis no mataréis! Los pelos como escarpias. #ErnestLluch</t>
  </si>
  <si>
    <t>España - Cantabria</t>
  </si>
  <si>
    <t>Socialista (y ugetista) hasta las trancas. Nacimos sin teléfono, tv, calefacción..., pero luchamos para qué vivierais libres, y lo conseguimos. No lo estropeéis</t>
  </si>
  <si>
    <t>https://twitter.com/pablocasado_/status/1064984130562244608</t>
  </si>
  <si>
    <t>pic.twitter.com/DY6DHPAAXU</t>
  </si>
  <si>
    <t>Andrés De Francisco 🎗</t>
  </si>
  <si>
    <t>El escritor de novelas baratas y sobrevalorado de #PérezReverte se equivoca, a Rufián no lo sentó España en el congreso, lo sentamos nosotros los catalanes. El y España sienta a Rafael Hernando, a Pablo Casado y a Albert Rivera. Caro le sale a los catalanes soportar a España.</t>
  </si>
  <si>
    <t>Catalunya.</t>
  </si>
  <si>
    <t>💀Emeritus💀</t>
  </si>
  <si>
    <t>Cuando a Pablo Casado le piden que condene el franquismo dice que también hay que condenar el comunismo. Cuando Pablo Casado pide ilegalizar el comunismo no pide ilegalizar los partidos fascistas, ni a falange, España 2000, fundación Franco... Qué raro ¿No?</t>
  </si>
  <si>
    <t>MadriZ</t>
  </si>
  <si>
    <t>El fascismo es un zombie que sigue infectando mentes con la ayuda de la Iglesia Católica, la banca y otras sectas. Antes libre que obediente. #Ateo #Antifa</t>
  </si>
  <si>
    <t>GRAAN IN ASS EN ONAFHANKLIKE</t>
  </si>
  <si>
    <t>Pablo Casado: “Credos que acaban en una radicalización violenta no tienen cabida en España”</t>
  </si>
  <si>
    <t>https://latribunadelpaisvasco.com/art/10036/pablo-casado-credos-que-acaban-en-una-radicalizacion-violenta-no-tienen-cabida-en-espana</t>
  </si>
  <si>
    <t>TABARNIA</t>
  </si>
  <si>
    <t>Las leyes se pueden cambiar.Pero si no las respetas,no esperes que te respete yo a ti.</t>
  </si>
  <si>
    <t>Alvaro</t>
  </si>
  <si>
    <t>Lo que me faltaba por ver, a Pablo Casado vendiendo banderas de España por telefono y a Rufian llamando fascista a gente aleatoria. Tengo ganas de que me llame algun partido para ver como intentan captarme RT @dbravo: Aprobada la ley que permitirá a los partidos hacer spam electoral y propaganda personalizada en Internet con los votos de PP, PSOE y Ciudadanos  vía @eldiariotec</t>
  </si>
  <si>
    <t>https://twitter.com/dbravo/status/1065301567304196096
https://www.eldiario.es/_31f012d3</t>
  </si>
  <si>
    <t>Siempre avanti</t>
  </si>
  <si>
    <t>enfermero enfadad</t>
  </si>
  <si>
    <t>Las violetas imperiales de Pablo Casado  vía @nuevatribuna</t>
  </si>
  <si>
    <t>https://www.nuevatribuna.es/opinion/jose-luis-lopez-bulla/violetas-imperiales-pablo-casado/20181120103644157616.html</t>
  </si>
  <si>
    <t>España // Cataluña //Barcelona</t>
  </si>
  <si>
    <t>« Anamú™»</t>
  </si>
  <si>
    <t>Primero Pablo Casado y lg Susana Díaz, ¿Lucena no te cansas de dar pena? RT @lucenahoycom: GALERÍA: Susana Díaz gira visita de campaña a Lucena y asegura que la "el hospital de Lucena es un compromiso cumplido".  PSOE Lucena</t>
  </si>
  <si>
    <t>https://twitter.com/lucenahoycom/status/1065292962375053312
https://www.lucenahoy.com/articulo/politica/galeria-susana-diaz-visita-lucena/20181121171752063089.html</t>
  </si>
  <si>
    <t>Lucena - Salamanca</t>
  </si>
  <si>
    <t>🏳️‍🌈</t>
  </si>
  <si>
    <t>Karthografo</t>
  </si>
  <si>
    <t>Pablo casado cuando habla de derecho hace que suba el pan. Hablar de las Audiencias Territoriales es prehistoria.... Le ha faltado pedir agilizar los juicios de cognicion y los declarativos d e mayor cuantia.. No se puede hablar tanto del estado de derecho y no tener ni idea</t>
  </si>
  <si>
    <t>La política tiene que ver con el conflicto y la democracia consiste en dar la posibilidad a los distintos puntos de vista para que se expresen. Chantal Mouffe</t>
  </si>
  <si>
    <t>jose gines rico</t>
  </si>
  <si>
    <t>🅰️ Hay que reconocer las 💡de Pablo Casado su esfuerzo por superar el ridículo cada día. 🅱️ Para reaccionar a la renuncia de Marchena copian una ley derogada de 1980 para presentarla como enmienda a la totalidad de la nueva Ley para la reforma del Poder Judicial actual.</t>
  </si>
  <si>
    <t>https://pbs.twimg.com/media/Dsi48dqW0AAQ1fm.jpg</t>
  </si>
  <si>
    <t>Monóvar</t>
  </si>
  <si>
    <t>amigo de sus amigos, ciudadano del mundo. mis hijos.mis nietos mi gente lo mejor del mundo...... Socialista y Republicano de siempre y para siempre.</t>
  </si>
  <si>
    <t>Ander Ugarte</t>
  </si>
  <si>
    <t>Qué personaje tan impresentable e indigno de representarse ni siquiera a si mismo es también el señor Albert Rivera. Entre Pablo Casado y el compiten a diario por ser el que más. Qué poca carisma hay que tener para confiar en cualquiera de estos dos. Casi hacen bueno a Trump.</t>
  </si>
  <si>
    <t>Araba/Álava, País Vasco</t>
  </si>
  <si>
    <t>Estudiante de Periodismo en UPV/EHU, Leioa. Me gusta todo absolutamente todo lo que me llama la atención. Qué obviedad, ¿no? Pues pocas cosas me la llaman.</t>
  </si>
  <si>
    <t>http://elgranangular.wordpress.com</t>
  </si>
  <si>
    <t>no_pasaran#</t>
  </si>
  <si>
    <t>#ÚltimaHora España y Reino Unido alcanzan un preacuerdo sobre Gibraltar. Le cambiamos los monos y 2 cartones de Winston, por Albert Rivera y le regalamos a Pablo Casado. Ya los mandamos payá</t>
  </si>
  <si>
    <t>pic.twitter.com/dT78EdKmdP</t>
  </si>
  <si>
    <t>Luchador por un estado que sea eso un verdadero estado. Republicano y antifascista</t>
  </si>
  <si>
    <t>skakeo fanzine</t>
  </si>
  <si>
    <t>Pablo Casado y la reinterpretación de la historia.</t>
  </si>
  <si>
    <t>https://pbs.twimg.com/media/Dsi2T9xW0AAQrDJ.jpg</t>
  </si>
  <si>
    <t>Fanzine cochambroso que naciera allá por 1992 en papel y ahora sobrevive como puede en intenne.</t>
  </si>
  <si>
    <t>http://skakeo.blogspot.com/</t>
  </si>
  <si>
    <t>Miren la cara del líder del PP (partido condenado por corrupción, no lo olviden) Pablo Casado RT @psoedeandalucia: ☝🏻 @pablocasado_ lanza una pregunta sobre #Andalucía en el @Congreso_Es y miente 10 veces en 25 segundos ✌🏻 @sanchezcastejon habla claro: "La respuesta a su pregunta se la van dar los andaluces y andaluzas el #2D" 💪🏻😉 Basta de insultar a nuestra tierra #respetoAndalucía</t>
  </si>
  <si>
    <t>https://twitter.com/psoedeandalucia/status/1065235321267339264</t>
  </si>
  <si>
    <t>pic.twitter.com/ZsdOul5qRv</t>
  </si>
  <si>
    <t>@itosarceconde</t>
  </si>
  <si>
    <t>vigo</t>
  </si>
  <si>
    <t>Soy de Vigo y no lo niego y del Celta. Y abuela de Lola, Xabi y Pepe</t>
  </si>
  <si>
    <t>ProtheanTom</t>
  </si>
  <si>
    <t>Lo que es triste, pero triste nivel "a qué narices estáis jugando @PSOE y @ahorapodemos?" es que la primera propuesta de mejora seria de la justicia desde la caida del anterior gobierno por corrupción la haga Pablo Casado. RT @pablocasado_: Acabamos de presentar en el Senado esta enmienda a la reforma de la Ley Orgánica del Poder Judicial, para volver al sistema de elección del Consejo General del Poder Judicial que consagra la Constitución y fortalecer la independencia judicial y la separación de poderes en España.</t>
  </si>
  <si>
    <t>Tecnófilo, friki, DevOps, defensor de la Democracia Líquida y del pensamiento crítico.</t>
  </si>
  <si>
    <t>☠️❌Mario Thiago❌☠️</t>
  </si>
  <si>
    <t>Lo bueno de Pablo Casado es que es una persona de ideas claras, no se esconde. Es un fascista, y está orgulloso de que todos lo sepamos. RT @eldiarioes: El PP pide ilegalizar organizaciones "comunistas y populistas" como requisito para condenar el franquismo  Por @marioescribano_</t>
  </si>
  <si>
    <t>Sam Crow, Redwood Original</t>
  </si>
  <si>
    <t>ONE PIECE // Muy del Barça, de Messi y de Iniesta.</t>
  </si>
  <si>
    <t>Coordinadora 25S</t>
  </si>
  <si>
    <t>En el PP siempre han pensado que “La democracia se le debe en parte a Franco” ahora Adolfo Suárez Jr. Lo dice abiertamente, y es el elegido por Pablo Casado para renovar ideológicamente el partido y volver a ponerlo el 1939</t>
  </si>
  <si>
    <t>http://ow.ly/rKWs30mHLB4</t>
  </si>
  <si>
    <t>La democracia solo es real organizada por la sociedad en su conjunto y no por una clase política al servicio del poder económico. http://Facebook.com/Coordinadora25s</t>
  </si>
  <si>
    <t>http://coordinadora25s.wordpress.com</t>
  </si>
  <si>
    <t>Pablo Casado con Franco. Cada dia, está mas loco. Llama dictadura, a Cuba y Venezuela. Pero jamas, se lo ha llamado a su marido.</t>
  </si>
  <si>
    <t>Salvador Cruz (Boro)</t>
  </si>
  <si>
    <t>Pablo Casado propone ahora una reforma para que los jueces elijan a los vocales del CGPJ</t>
  </si>
  <si>
    <t>https://www.elmundo.es/espana/2018/11/20/5bf4064222601d460c8b45ee.html</t>
  </si>
  <si>
    <t>Esto es la bomba</t>
  </si>
  <si>
    <t>https://www.instagram.com/boroscq</t>
  </si>
  <si>
    <t>Ayamonte, España</t>
  </si>
  <si>
    <t>Montse H Aguilar</t>
  </si>
  <si>
    <t>Qué fue primero, el huevo o la gallina? LOS DOS aunque Pablo Casado crea que lo primero de todo, después de Adán y Eva, fue el huevo de Colón. Senado Congreso Rufián</t>
  </si>
  <si>
    <t>https://www.cinconoticias.com/el-huevo-o-la-gallina-fisica-cuantica-resuelve-paradoja/</t>
  </si>
  <si>
    <t>Artista, Escultora. No importa que se utilicen las obras y palabras,siempre que figuren el origen y la autoría,sé respetuos@,gracias</t>
  </si>
  <si>
    <t>http://supervivenciaconysinarte.blogspot.com.es/</t>
  </si>
  <si>
    <t>Juan Antonio Jiménez</t>
  </si>
  <si>
    <t>Justicia: Pablo Casado propone que los jueces elijan el CGPJ mientras Sánchez se aferra al reparto político</t>
  </si>
  <si>
    <t>mjdbbu</t>
  </si>
  <si>
    <t>https://okdiario.com/espana/2018/11/21/casado-propone-que-jueces-elijan-cgpj-mientras-sanchez-aferra-reparto-politico-3374499#.W_WTHPQCwFs.twitter</t>
  </si>
  <si>
    <t>madrid-españa</t>
  </si>
  <si>
    <t>PUXA ASTURIES</t>
  </si>
  <si>
    <t>Rafael Hernando</t>
  </si>
  <si>
    <t>No, si ahora la culpa del lamentable espectáculo entre Rufian y Borrell la voy a tener yo, o Pablo Casado. RT @europapress: La dirección del PSOE no vio el escupitajo de ERC a Borrell y achaca al PP la crispación</t>
  </si>
  <si>
    <t>https://twitter.com/europapress/status/1065197352049356801
https://bit.ly/2Aa6iVP</t>
  </si>
  <si>
    <t>https://pbs.twimg.com/media/DshXSyYW0AAjGQW.jpg</t>
  </si>
  <si>
    <t>https://twitter.com/SebastianGR1965/status/1065274039944527872</t>
  </si>
  <si>
    <t>pic.twitter.com/2HtxUKaLM5</t>
  </si>
  <si>
    <t>Diputado Nacional por el @PP_Almeria. Portavoz adjunto del @GPPopular en el @Congreso_es. Presidente del Comité de Derechos y Garantías del @PPopular</t>
  </si>
  <si>
    <t>http://www.facebook.com/RafaelHernandoPP</t>
  </si>
  <si>
    <t>Tablao Puro Arte</t>
  </si>
  <si>
    <t>El líder nacional del PP, Pablo Casado, estuvo el fin de semana en Puro Arte, en un acto electoral que su partido organizó en este tablao jerezano. Estuvo acompañado por Antonio Saldaña, candidato del PP a la alcaldía de Jerez, quien presentó un proyecto para fomentar el flamenco</t>
  </si>
  <si>
    <t>https://pbs.twimg.com/media/Dsiqv3OXoAEucJE.jpg</t>
  </si>
  <si>
    <t>Calle Madre de Dios, 10 Jerez de la Frontera (Spain)</t>
  </si>
  <si>
    <t>Tablao Flamenco Puro Arte. Jerez de la Frontera. Espectáculo diario de 60 min. de duración. Director Artístico @RaulOrtegaofici Tablao referencia del #Flamenco</t>
  </si>
  <si>
    <t>https://www.puroarteflamencojerez.com</t>
  </si>
  <si>
    <t>Pablo Casado ha vuelto a hacer "Copy/Paste", como en sus trabajos de estudiante, ha copiado una ley derogada en los 80 ... este tipejo no aprende, y así quiere aprobar ...</t>
  </si>
  <si>
    <t>https://elpais.com/politica/2018/11/20/actualidad/1542754334_277796.html?id_externo_rsoc=TW_CC</t>
  </si>
  <si>
    <t>Esta semana, tragicomedia en @ctxt_es de camino al 2D: Esperando a la derecha en Andalucía</t>
  </si>
  <si>
    <t>https://pbs.twimg.com/media/DsiomoWXcAA4FXl.jpg</t>
  </si>
  <si>
    <t>A lo mejor os estáis equivocando y Pablo Casado lo único que quiere es destruir el PP desde dentro.</t>
  </si>
  <si>
    <t>Aquí va la biografía.</t>
  </si>
  <si>
    <t>Aljaraque, España</t>
  </si>
  <si>
    <t>Canarias Opina</t>
  </si>
  <si>
    <t>http://canariasopina.com/2018/11/21/opinion-martin-ru-pablo-casado-olvido-su-primer-discurso/</t>
  </si>
  <si>
    <t>https://pbs.twimg.com/media/DsinU-DUcAAAv-8.jpg</t>
  </si>
  <si>
    <t>Actualidad Regional de Canarias</t>
  </si>
  <si>
    <t>http://www.canariasopina.com.es</t>
  </si>
  <si>
    <t>Paco</t>
  </si>
  <si>
    <t>Cádiz, Andalucía, Spain</t>
  </si>
  <si>
    <t>Cádiz por la No- Violencia. Mundo sin Guerras y sin Violencia.</t>
  </si>
  <si>
    <t>https://www.facebook.com/mundosinguerras.cadiz</t>
  </si>
  <si>
    <t>MariSol Solet</t>
  </si>
  <si>
    <t>Albert Rivera Pablo Casado No condenan el fascismo del asesino Francisco Franco. #TodoNormal #FascismoNoCondenaFascismo</t>
  </si>
  <si>
    <t>https://pbs.twimg.com/media/DsiixcBWoAA3Cj0.jpg</t>
  </si>
  <si>
    <t>Dicen que el #ImpuestoAlSol ha sido derogado pero está paralizado por PP y Ciudadanos. Pedro Sánchez les dió la mayoría en la Mesa del Congreso.Por qué?🤔</t>
  </si>
  <si>
    <t>Xavi Lozano Chimeno🎗🎗🎗 #LLUIS, TOTS SOM LLUIS</t>
  </si>
  <si>
    <t>Ara els masters estan d'oferta. Impresionant el marketing d'aquesta gent-ussa. La Universidad Rey Juan Carlos contrata como profesor a Pablo Casado  vía @eljueves</t>
  </si>
  <si>
    <t>Praia, Cabo Verde</t>
  </si>
  <si>
    <t>Born in Aitona (Catalonia) and living in Paradise, Cape Verde. Before and Later Life Freedom for Catalonia. Only Barça. 🎗🎗🎗</t>
  </si>
  <si>
    <t>📌 El Sábado 24 a las 11 de la mañana en Plaza del Humilladero [fuente de las granada] mitin de Pablo Casado y Juanma Moreno . El cambio comienza en Andalucía 👇👇.. por el futuro de todos. #VotaGarantiaDeCambio vota @JuanMa_Moreno @ppandaluz @ppgranada @SebastianGR1965 RT @SebastianGR1965: 📢Os invito el próximo sábado a las 11:00h al mitin público en la Fuente de las Granadas! 🔷Nos acompañará @pablocasado_ Presidente del @PPopular y el futuro Presidente de la Junta de Andalucía, @JuanMa_Moreno Te espero!👍🏼 #VotaGarantíadeCambio</t>
  </si>
  <si>
    <t>Pablo Casado condenará el franquismo si se ilegaliza a comunistas y populistas y le permiten inaugurar unos pantanos.</t>
  </si>
  <si>
    <t>lola flawless #NaNoWriMo</t>
  </si>
  <si>
    <t>pablo casado tiene cara de follar fatal</t>
  </si>
  <si>
    <t xml:space="preserve">Califato de Córdoba, Anarres </t>
  </si>
  <si>
    <t>valkyria cibernética que escribe || malhablá que tiene alerta a los vecinos, heredera de lisístrata y de la safo || @GSaficas</t>
  </si>
  <si>
    <t>https://lektu.com/a/lola-flawless/5435</t>
  </si>
  <si>
    <t>Facsi</t>
  </si>
  <si>
    <t>QUE HACE PABLO CASADO EN LA IZQUIERDA?!? RT @diarioas: 📰 Pon un titular a esta imagen 📝 ____________</t>
  </si>
  <si>
    <t>https://twitter.com/diarioas/status/1064639516907094017</t>
  </si>
  <si>
    <t>https://pbs.twimg.com/media/DsZb_2kWoAATMlV.jpg</t>
  </si>
  <si>
    <t>Jugador de smite y cod black ops 4. Hago cosas</t>
  </si>
  <si>
    <t>https://www.youtube.com/channel/UCDoZcvj8CxFCyeiyI35G4qA</t>
  </si>
  <si>
    <t>The CorruPPtion Show: Master Pablo Casado tropieza en la tercera 'piedra' de su corto mandato.  vía @voz_populi</t>
  </si>
  <si>
    <t>https://www.vozpopuli.com/_4716e194</t>
  </si>
  <si>
    <t>VAVIOL</t>
  </si>
  <si>
    <t>España. MADRID</t>
  </si>
  <si>
    <t>Politóloga, Abogada.</t>
  </si>
  <si>
    <t>Vozpópuli</t>
  </si>
  <si>
    <t>Cosidó es la tercera 'piedra' con la que tropieza Pablo Casado en su corto mandato. Lo cuenta @Gabrielsanz64</t>
  </si>
  <si>
    <t>https://buff.ly/2R0vxBb</t>
  </si>
  <si>
    <t>El valor de ser libres y fiables.</t>
  </si>
  <si>
    <t>http://www.vozpopuli.com</t>
  </si>
  <si>
    <t>Gabriel Rufián llama fascistas a ciudadanos y Josep Borrell quiere entiender que le ha llegado racista Ana Pastor expulsa a Rufián pq cree que estaba burlándose de Jesucristo Mientras Albert Rivera llora pq nadie le hace caso y Pablo Casado toma apuntes para su nuevo máster</t>
  </si>
  <si>
    <t>https://pbs.twimg.com/media/DsieBKVXoAAdVfr.jpg</t>
  </si>
  <si>
    <t>elEconomista.es</t>
  </si>
  <si>
    <t>La enmienda que Pablo Casado copió de una ley de hace casi 40 años (anacronismos incluidos)</t>
  </si>
  <si>
    <t>https://www.eleconomista.es/politica/noticias/9533559/11/18/Casado-fusila-la-ley-de-1980-en-su-enmienda-sobre-el-nombramiento-del-CGPJ-sin-eliminar-los-anacronismos.html</t>
  </si>
  <si>
    <t>Cuenta oficial de elEconomista.es. Facebook http://www.facebook.com/elEconomista.es Gracias por compartir con nosotros.</t>
  </si>
  <si>
    <t>http://www.eleconomista.es</t>
  </si>
  <si>
    <t>sapabla</t>
  </si>
  <si>
    <t>Pablo Casado tropieza en la tercera 'piedra' de su corto mandato  vía @voz_populi</t>
  </si>
  <si>
    <t>Licenciado en Ciencias de la Información.Técnico administración local, experto en movimientos sociales, cultura populat, nueva ciudadania(inmigración).</t>
  </si>
  <si>
    <t>http://www.convivenciaysolidaridad.blogspot.com</t>
  </si>
  <si>
    <t>Marco Polo</t>
  </si>
  <si>
    <t>Elena y yo venimos más a clase en una semana que Pablo Casado en toda su carrera y master</t>
  </si>
  <si>
    <t>veni vidi vici</t>
  </si>
  <si>
    <t>M DOLORES DOMINGUEZ</t>
  </si>
  <si>
    <t>El ultraderechista Pablo Casado interviniendo en el Congreso. Vergüenza!</t>
  </si>
  <si>
    <t>Sean capaces siempre de sentir, en lo más hondo, cualquier injusticia realizada contra cualquiera, en cualquier parte del mundo.</t>
  </si>
  <si>
    <t>Sol</t>
  </si>
  <si>
    <t>Cosidó descarta dimitir tras la renuncia de Marchena y se siente respaldado por Pablo Casado  vía @elmundoes</t>
  </si>
  <si>
    <t>https://www.elmundo.es/espana/2018/11/20/5bf3eb5022601d317c8b45a2.html</t>
  </si>
  <si>
    <t>realizadora,directora,sin dar palo al agua</t>
  </si>
  <si>
    <t>Manolo</t>
  </si>
  <si>
    <t>La presidencia del Congreso deja sin discurso a Pablo Casado y a Albert Rivera al retirar las palabras golpista y fascista. RT @el_pais: DIRECTO  Pastor avanza que retirará las palabras "fascistas" y "golpistas" que ha dicho Rufián a Borrell. La presidenta del Congreso, que se ha emocionado, denuncia insultos machistas en su contra</t>
  </si>
  <si>
    <t>https://twitter.com/el_pais/status/1065164703284916224
http://bit.ly/2FLtMa7</t>
  </si>
  <si>
    <t>https://pbs.twimg.com/media/Dsg5pPZUUAAigpp.jpg</t>
  </si>
  <si>
    <t>Una sociedad que sustituye bienestar por beneficio es el exponente de una sociedad en grave decadencia. José Luis Sampedro</t>
  </si>
  <si>
    <t>amparameque</t>
  </si>
  <si>
    <t>Pedro Sánchez reivindica a Rajoy frente a Pablo Casado tras el fiasco del CGPJ: "A su lado él era un moderado"... Sánchez I de Cataluña.el crispador. Y autor de Mocion de mentiras.  vía @elmundoes</t>
  </si>
  <si>
    <t>El derecho y el deber, son como palmeras: no dan fruto si no crecen uno al lado del otro.</t>
  </si>
  <si>
    <t>Lord Crack Porrison</t>
  </si>
  <si>
    <t>Hay que ser triste para adorar a gente como Pablo Casado, mecagonmivida...</t>
  </si>
  <si>
    <t>Pos aquí, al fondo a la izqda.</t>
  </si>
  <si>
    <t>Camionero, tuitero y esposo de tuitera. Votante de Podemos, si eso te crea un problema, no me sigas. Ateo convencido y antitaurino. ODIO LAS PUTAS MULTIS.</t>
  </si>
  <si>
    <t>Joan</t>
  </si>
  <si>
    <t>Albert Rivera, Rafael Hernando, Pablo Casado en el Congreso: son ustedes unos GOLPISTAS👊 FASCISTAS💣 SUPREMACISTAS🔪 RACISTAS💀 CATALUÑA ES COMO LA ALEMANIA DE LOS AÑOS 30🔥 el Congreso: 😊☺️😇😍😌 Gabriel Rufián: señor Borrell es usted un hooligan el Congreso:</t>
  </si>
  <si>
    <t>pic.twitter.com/n5PsPsyj4a</t>
  </si>
  <si>
    <t>Galicia, España</t>
  </si>
  <si>
    <t>Lleida</t>
  </si>
  <si>
    <t>25. Lleidatà. Jurista y abogado que se pasa el día quejándose de todo. Pero de todo, todo. Eurovisión. Ravenclaw.</t>
  </si>
  <si>
    <t>http://Instagram.com/joanmg.93</t>
  </si>
  <si>
    <t>Lourdes Biurrun</t>
  </si>
  <si>
    <t>- [ ] Agosto. Fiestas de Vitoria-Gasteiz. El centro está abarrotado de gente y hace mucho calor. Mucho. Convoca el PP. Pablo Casado hará declaraciones ahí, en plena parte vieja. En mitad…</t>
  </si>
  <si>
    <t>https://www.instagram.com/p/BqcoAAOHadO/?utm_source=ig_twitter_share&amp;igshid=zzzxcqao5cqo</t>
  </si>
  <si>
    <t>De Pamplona</t>
  </si>
  <si>
    <t>Reportera 📺 | Últimamente en @laSextaTV | 🎙</t>
  </si>
  <si>
    <t>Pablo Casado: “Todos los venezolanos decían cuando les preguntábamos por Cuba: eso queda muy lejos. Sin embargo, la ola del populismo les arrolló"</t>
  </si>
  <si>
    <t>CalaixInformatiu</t>
  </si>
  <si>
    <t>Cuando Mariano Rajoy decidió abandonar la política, los amantes de las frases célebres nos sentimos un poco huérfanos. Pero ... Las 20 frases más surrealistas de Pablo casado...</t>
  </si>
  <si>
    <t>Informatiu de Calaix de Sastre, la informació que alguns no voldrien veure mai per la xarxa.</t>
  </si>
  <si>
    <t>http://calaixinformatiu.wordpress.com</t>
  </si>
  <si>
    <t>🇪🇺Teodoro I de León🇪🇸</t>
  </si>
  <si>
    <t>Otro bloqueado,un tal Pablo Casado...estoy de política hasta los Eggs..</t>
  </si>
  <si>
    <t>No soy el Rey de los felinos de España pero como Felipe VI,vivo a cuerpo de Rey a costa de dos españoles en concreto.Mis siervos humanos leoneses Bea y Fer.</t>
  </si>
  <si>
    <t>Dolor de cabeza nivel me dicen que dimite Pablo Casado y abro el champagne, pero sustituyo las fresas por ibuprofeno.</t>
  </si>
  <si>
    <t>Jose Maria Fiol</t>
  </si>
  <si>
    <t>Gracias @antoviradio! 🤪 No me puedo quitar la imagen de Pablo Casado en bicicleta, y en su cestita un pequeño Aznar con su toalla sobre la cabeza. Y ese bigotazo!!!! Gracias por destruir mi infancia! 😓😓😓</t>
  </si>
  <si>
    <t>Incoloro</t>
  </si>
  <si>
    <t>catymu</t>
  </si>
  <si>
    <t>Pedro Sánchez reivindica a Rajoy frente a Pablo Casado tras el fiasco del CGPJ: "A su lado él era un moderado"  vía @elmundoes</t>
  </si>
  <si>
    <t>animalistaconvencida</t>
  </si>
  <si>
    <t>Artículo: La Universidad Rey Juan Carlos contrata como profesor a Pablo Casado - La Universidad Rey Juan Carlos contrata como profesor a Pablo Casado</t>
  </si>
  <si>
    <t>http://flip.it/u2i58A</t>
  </si>
  <si>
    <t>"Cuando la tiranía es ley, la revolución es orden". No nos callaran con su fascismo disfrazado de hipocresia.</t>
  </si>
  <si>
    <t>PSOE La Roda</t>
  </si>
  <si>
    <t>☝🏻 Pablo Casado hace pregunta sobre #Andalucía en el Congreso y miente 10 veces en 25 segundos ✌🏻 Pedro @sanchezcastejon habla claro: "La respuesta a su pregunta se la van dar los andaluces y andaluzas el #2D" 💪🏻😉 Basta de insultar a nuestra tierra #respetoAndalucía</t>
  </si>
  <si>
    <t>pic.twitter.com/qeFKcACOML</t>
  </si>
  <si>
    <t>Twitter oficial del PSOE de La Roda de Andalucía (Sevilla)</t>
  </si>
  <si>
    <t>http://www.larodapsoe.es</t>
  </si>
  <si>
    <t>☝🏻 Pablo Casado, líder del PP lanza una pregunta sobre #Andalucía en el Congreso de los Diputados y miente 10 veces en 25 segundos ✌🏻 Pedro Sánchez Pérez-Castejón habla claro: "La respuesta a su pregunta...</t>
  </si>
  <si>
    <t>https://www.facebook.com/psoe.larodaandalucia/videos/1989660121081004/</t>
  </si>
  <si>
    <t>⁦⁦@sanchezcastejon⁩ debe ser más valiente, es Ud.el presidente y no lo es ni Pablo Casado ni Albert Rivera, y es su prerrogativa y no la de ellos</t>
  </si>
  <si>
    <t>https://www.youtube.com/watch?v=nyKcBUxQ7Ww&amp;feature=share</t>
  </si>
  <si>
    <t>El que No sepa comportarse en el Congreso o en el Senado,que se vayan a su casa. No tenemos por qué soportar a gente soez ni grosera en el Congreso. Rafael Hernando Gabriel Rufián Pablo Casado y Albert Rivera, representan la Anti-política, la mala educación y la grosería</t>
  </si>
  <si>
    <t>Álvaro</t>
  </si>
  <si>
    <t>¿Qué da más asco, Antena3, Albert Rivera o Pablo Casado?</t>
  </si>
  <si>
    <t>Hago birra con agua del Tajo (y está buena)</t>
  </si>
  <si>
    <t>Manolo Breñas</t>
  </si>
  <si>
    <t>Ignacio Cosidó, Pablo Casado y Teodoro García Egea antes de la reunión del Partido Popular en el Senado. PP y C´S se abstienen en el Senado de condenar al franquismo</t>
  </si>
  <si>
    <t>https://pbs.twimg.com/media/DsiJb4-WwAAXdVQ.jpg</t>
  </si>
  <si>
    <t>Vitoria-Gasteiz, País Vasco</t>
  </si>
  <si>
    <t>Irakasle oso gorria kolore polita da eta.Poesia politika animaliak eta musika ere interesatzen zaizkit.</t>
  </si>
  <si>
    <t>Patry</t>
  </si>
  <si>
    <t>Como su hermanito Pablo Casado. Elecciones andaluzas 2018: Rivera elude calificar a Vox como partido de extrema derecha | España | EL PAÍS</t>
  </si>
  <si>
    <t>https://elpais.com/politica/2018/11/21/actualidad/1542795112_974513.html</t>
  </si>
  <si>
    <t>Entre mi casa y la UCM</t>
  </si>
  <si>
    <t>. 🌌</t>
  </si>
  <si>
    <t>notung</t>
  </si>
  <si>
    <t>A todos los que sugieren que Cosidó está protegiendo a un superior y que esa es la verdadera noticia.... hold my beer. Cosidó, otra piedra en el zapato de Casado</t>
  </si>
  <si>
    <t>https://www.elperiodico.com/es/politica/20181119/cosido-piedra-zapato-pablo-casado-7156422?utm_source=twitter&amp;utm_medium=social</t>
  </si>
  <si>
    <t>man in the arena</t>
  </si>
  <si>
    <t>KKO DIARIO</t>
  </si>
  <si>
    <t>Pablo Casado, el hombre que cobra 1.842 euros en dietas por ser diputado por Ávila pero que vive y vota en Madrid. #FelizMiércoles</t>
  </si>
  <si>
    <t>Mostrando el KKO que montan y tienen en la cabeza la derecha y Pantuflo. ❤💛💜</t>
  </si>
  <si>
    <t>Joan Calaf</t>
  </si>
  <si>
    <t>Pedro sanchez castejon echa en cara a pablo casado que sea más radical y menos serio que Rajoy</t>
  </si>
  <si>
    <t>http://bit.ly/2OTf2oH</t>
  </si>
  <si>
    <t>https://pbs.twimg.com/media/DsiDyfyXQAAb-_6.jpg
https://pbs.twimg.com/media/DshF1kKW0AEs45r.jpg</t>
  </si>
  <si>
    <t>Antes era malo ahora ya no, Vivir el dia a dia Fan de Dragon Ball Z/GT/Super</t>
  </si>
  <si>
    <t>Mariela de Ulloa</t>
  </si>
  <si>
    <t>Ana Pastor, en un ejercicio de equidistancia muy propio de alguien procedente del equipo Rajoyano como ella, iguala "golpista" con "fascista" y prohíbe ambos "insultos"en la Cámara...a ver cuando Pablo Casado echa a esta dinosauria también... RT @conservdig: Ana Pastor expulsa a Gabriel Rufián del Congreso por insultar a Josep Borrell y a Ciudadanos.</t>
  </si>
  <si>
    <t>https://twitter.com/conservdig/status/1065243587401658368
https://www.facebook.com/elconservadordigital/videos/302895553656390/</t>
  </si>
  <si>
    <t>Algún lugar de la enmarañada galaxia hispánica</t>
  </si>
  <si>
    <t>«Lo más difícil de aprender en la vida es qué puente hay que cruzar y qué puente hay que quemar», Bertrand Russell NO MD 🤬</t>
  </si>
  <si>
    <t>No le digáis nada a Pablo Casado, a ver si se da cuenta él sólo. #SesiónDeControl RT @elperiodico: Pablo Casado: "Antes marcaban con estrellas amarillas, ahora con lazos"</t>
  </si>
  <si>
    <t>Bilboko Politburó</t>
  </si>
  <si>
    <t>"manteniendo un mercado de trabajo competitivo" Pablo Casado. Es el mayor eufemismo para precariedad que hemos escuchado en años. Si no mejoran tus condiciones laborales es por gentuza así.</t>
  </si>
  <si>
    <t>Politburó de la Unión de Distritos Soviéticos de Bilbao.</t>
  </si>
  <si>
    <t>Dani Mateo analiza las declaraciones en las que Pablo Casado asegura que "nosotros no colonizábamos, sólo hacíamos una España más grande": "Según la teoría de Casado, Atila no conquistó media Europa, sólo es que se le quedaba pequeño su pueblo"</t>
  </si>
  <si>
    <t>https://goo.gl/Rpqvw5</t>
  </si>
  <si>
    <t>casadeVall</t>
  </si>
  <si>
    <t>Està malalt, sense comentaris ... Las 20 frases más surrealistas de Pablo casado  via @cataladigitalok</t>
  </si>
  <si>
    <t>Cardedeu</t>
  </si>
  <si>
    <t>Tot està per fer i tot és possible! Catalunya i el Barça endavant sempre. Història i mirant cap al nord: Scotland. I #BuenuPosMoltbéPosAdios</t>
  </si>
  <si>
    <t>El disidente</t>
  </si>
  <si>
    <t>"Nosotros no colonizábamos, hacíamos una España más grande". Pablo Casado  vía @YouTube Cataluña no es que se quisiese independizar. Es que quería una España más pequeña.</t>
  </si>
  <si>
    <t>https://youtu.be/x3y5KhIJ9gg</t>
  </si>
  <si>
    <t>Harto de banderas y de falsos patriotas.</t>
  </si>
  <si>
    <t>ROBERT RODRIGUEZ</t>
  </si>
  <si>
    <t>https://okdiario.com/espana/2018/11/21/casado-propone-que-jueces-elijan-cgpj-mientras-sanchez-aferra-reparto-politico-3374499#.W_VdLuR2cKQ.twitter</t>
  </si>
  <si>
    <t>GIRONA - SPAIN</t>
  </si>
  <si>
    <t>NACÍ EL 24 NOV.EN BARBERÁ DEL VALLES,BARCELONA.ME GUSTA VIAJAR,EL DEPORTE,EL CINE Y LA CULTURA.SOY MUY SOCIABLE Y LEAL CON LOS AMIGOS.</t>
  </si>
  <si>
    <t>https://okdiario.com/espana/2018/11/21/casado-propone-que-jueces-elijan-cgpj-mientras-sanchez-aferra-reparto-politico-3374499#.W_VdIDKAkpE.twitter</t>
  </si>
  <si>
    <t>Javier Torres</t>
  </si>
  <si>
    <t>Pablo Casado, el gracioso via @El_Plural</t>
  </si>
  <si>
    <t>https://www.elplural.com/opinion/los-calvitos/pablo-casado-el-gracioso_206717102</t>
  </si>
  <si>
    <t>Inconformista, tengo problemas con la mano izquierda. A favor de la República. Ateo. Harto de salvapatrias.</t>
  </si>
  <si>
    <t>http://javiertorresmatasanos.blogspot.com.es</t>
  </si>
  <si>
    <t>bart</t>
  </si>
  <si>
    <t>El Congreso expulsa a @gabrielrufian por llamar hooligan a Borrell. En el mismo lugar Pablo Casado llamó hace nada golpista al Pedro Sánchez. Si todavía no teneis claro quienes son los protegidos en este país es que estáis muy pero muy ciegos.</t>
  </si>
  <si>
    <t>Universidad Complutense de Madrid ✍ Manacor, Mallorca. Our life is our message. Colaborador en @Capital_Deporte 🎾</t>
  </si>
  <si>
    <t>https://capitaldeporte.com/author/bartomeu-riera//</t>
  </si>
  <si>
    <t>Yoda Republicano</t>
  </si>
  <si>
    <t>Pablo Casado culpa a Pedro Sánchez de 'malograr la renovación del CGPJ filtrando el nombre del posible presidente'  vía @laSextaTV</t>
  </si>
  <si>
    <t>https://goo.gl/46ZKZJ</t>
  </si>
  <si>
    <t>Vitoria-Gasteiz, Euskadi</t>
  </si>
  <si>
    <t>“El miedo es el camino hacia el Lado Oscuro, el miedo lleva a la ira, la ira lleva al odio, el odio lleva al sufrimiento. Veo mucho miedo en ti.” ⛔️🚫MD🚫⛔️</t>
  </si>
  <si>
    <t>https://www.youtube.com/channel/UCY60GBj-H8SmayRG1UgDVWw</t>
  </si>
  <si>
    <t>Jónatham F. Moriche</t>
  </si>
  <si>
    <t>La irrefrenable bolsonarización del @PPopular de Pablo Casado. Qué vergüenza</t>
  </si>
  <si>
    <t>http://www.eldiario.es/politica/PP-ilegalizacion-organizaciones-comunistas-populistas_0_837817434.html</t>
  </si>
  <si>
    <t>Extremadura Sur</t>
  </si>
  <si>
    <t>Ciudadano, oficial de artes gráficas, escribidor ocasional. Liberal de extrema izquierda, o viceversa | «You want it darker? We kill the flame»</t>
  </si>
  <si>
    <t>http://jfmoriche.blogspot.com</t>
  </si>
  <si>
    <t>Either Mark</t>
  </si>
  <si>
    <t>Pablo Casado cobra dietas por ser diputado en Ávila a pesar de tener vivienda en Madrid. Y...¿No pasará nada? 😊 #Casado</t>
  </si>
  <si>
    <t>Publicitat i RRPP a la l'UAB. Passió per les lletres, he escrit guions de documentals i contes. http://martinaettiennewordpress.wordpress.com//contes-magics</t>
  </si>
  <si>
    <t>Vaya Show Javi</t>
  </si>
  <si>
    <t>Pedro Sánchez y Pablo Casado trabajarán como jueces por las tardes mientras no se escoja a un nuevo presidente del Poder Judicial</t>
  </si>
  <si>
    <t>http://dlvr.it/QrmLrc</t>
  </si>
  <si>
    <t>https://pbs.twimg.com/media/Dsh03qeVYAAiHsp.jpg</t>
  </si>
  <si>
    <t xml:space="preserve"> + qué le pasa a Javi?? - déjalo ya le está dando la embolia... + vaya show Javi, ehh</t>
  </si>
  <si>
    <t>http://Instagram.com/javierdv1996</t>
  </si>
  <si>
    <t>Mentiras y crispación! No dan para más</t>
  </si>
  <si>
    <t>Jaime Prada</t>
  </si>
  <si>
    <t>Estupendo. Con esta regla queda demostrado que Rufián y Pablo Casado trabajan más que cualquiera de nosotros. Y mucho.</t>
  </si>
  <si>
    <t>https://pbs.twimg.com/media/Dsh0zCiXgAE0EDJ.jpg</t>
  </si>
  <si>
    <t>Graduado en Ingeniería Química Industrial Impresión 3D A man chooses, a slave obeys.</t>
  </si>
  <si>
    <t>Javier Padilla</t>
  </si>
  <si>
    <t>El PP pide hacer cosas franquistas para condenar el franquismo. Pablo Casado va camino de convertirse en una banda tributo al franquismo más rápido de lo que nadie creería. RT @eldiarioes: El PP pide ilegalizar organizaciones "comunistas y populistas" como requisito para condenar el franquismo  Por @marioescribano_</t>
  </si>
  <si>
    <t>Construyendo en @csilesia. Médico. Salubrismo o barbarie. javithink(arroba)gmail(punto)com</t>
  </si>
  <si>
    <t>http://colectivosilesia.net</t>
  </si>
  <si>
    <t>Marta Blanco Allona</t>
  </si>
  <si>
    <t>Me estoy empezando a plantear si alguna vez estuvo siquiera escolarizado Pablo Casado 🤔🤔🤔 RT @gerardotc: Bueno, es lo mismo salvo alguna cosa, Pablo. Te explico: Los nazis, que eran amigos del dictador del que surgió el PP, marcaban a los que luego encerraban (y gaseaban). Los lazos amarillos se los coloca uno mismo para pedir que se libere a los encerrados.</t>
  </si>
  <si>
    <t>Zaragoza, Spain</t>
  </si>
  <si>
    <t>Pensando en global y actuando en local. Alcaldesa de la República independiente de Aladrén desde 2015. Convencida de que Sí Se Puede!</t>
  </si>
  <si>
    <t>“A su lado el señor Rajoy es un moderado y más serio que usted en defender los pactos”. Este ha sido el reproche de Pedro Sánchez a Pablo Casado, al que insta a no romper el acuerdo alcanzado entre el Gobierno y el PP para renovar el CGPJ</t>
  </si>
  <si>
    <t>http://ow.ly/tUga30mHj47</t>
  </si>
  <si>
    <t>mule</t>
  </si>
  <si>
    <t>Pablo Casado está a un paso de pedir ilegalizar a todo aquel que no opine como el PP. Aunque creo que esto ya lo hizo alguien. Un tal Francisco Franco. La genética es lo que tiene. RT @eldiarioes: El PP pide ilegalizar organizaciones "comunistas y populistas" como requisito para condenar el franquismo  Por @marioescribano_</t>
  </si>
  <si>
    <t>cartagenero,colchonero y creyente del cambio social y político para lograr una sociedad más igualitaria. soñando con ser gestor turístico. CM de @ct_turistica</t>
  </si>
  <si>
    <t>Luis Giménez SM</t>
  </si>
  <si>
    <t>Miguel Navarro</t>
  </si>
  <si>
    <t>Intentar revertir en Bruselas, en unas instituciones internacionales de dudosa legitimidad democrática, lo que ha expresado en forma de ley la mayoría de españoles a través de sus representantes. Pablo Casado, ese patriota defensor de España RT @pablocasado_: El Gobierno que me insultaba por avisar en el exterior de la política nefasta de Sánchez, recibe el varapalo de Bruselas: no cree los PGE, ponen en riesgo el crecimiento y estabilidad, y no cumplen los acuerdos. De España habla mal quien la pone en riesgo.</t>
  </si>
  <si>
    <t>https://twitter.com/pablocasado_/status/1065223761627090945
https://www.elmundo.es/economia/macroeconomia/2018/11/21/5bf542fa46163f8e9e8b4669.html</t>
  </si>
  <si>
    <t>Madrid / Alicante</t>
  </si>
  <si>
    <t>Alicantino en Madrid. Periodismo y comunicación política. Y a veces escribo.</t>
  </si>
  <si>
    <t>Eligio Taboada 🛑StopSucesiones</t>
  </si>
  <si>
    <t>Pablo Casado tropieza en la tercera 'piedra' de su corto mandato</t>
  </si>
  <si>
    <t>Trabaja duro, pero con cabeza, los resultados no tardarán en llegar // Presidente de Plataforma Cívica @StopSucesiones // Lo imposible sólo tarda un poco más!!</t>
  </si>
  <si>
    <t>http://www.stopsucesiones.org</t>
  </si>
  <si>
    <t>https://www.vozpopuli.com/politica/casado-tropieza-mandato-cosido-cospedal-santamaria_0_1192681876.html</t>
  </si>
  <si>
    <t>Mónica 😼</t>
  </si>
  <si>
    <t>Decidme que Pablo Casado no acaba de decir esta barbaridad RT @elperiodico: Pablo Casado: "Antes marcaban con estrellas amarillas, ahora con lazos"</t>
  </si>
  <si>
    <t>Corleone, Sicily</t>
  </si>
  <si>
    <t>Frankly my dear, I don't give a damn.</t>
  </si>
  <si>
    <t>Canal Dirtenefe</t>
  </si>
  <si>
    <t>Pedro Sánchez y Pablo Casado en el Congreso  vía @YouTube</t>
  </si>
  <si>
    <t>https://youtu.be/UiFi9AAb50s</t>
  </si>
  <si>
    <t>Pepita Mena Martín</t>
  </si>
  <si>
    <t>Brabo señor Pablo Casado Por sus palabras siempre defendiendo nuestros derechos de los Españoles , Gracias RT @PPopular: 🔴 EN DIRECTO @pablocasado_ pregunta a Pedro Sánchez cómo valora la situación política, económica y social de Andalucía. #SesiónDeControl</t>
  </si>
  <si>
    <t>https://twitter.com/PPopular/status/1065153368178475008
https://twitter.com/i/broadcasts/1YqGorzbXXyKv</t>
  </si>
  <si>
    <t>Gerona, Figueras</t>
  </si>
  <si>
    <t>Soy abuela bisabuela y madre coraje soy muy española de Isla Cristina amo mi bandera y mi partido las opiniones hay que respetarlas 🇪🇸✌️</t>
  </si>
  <si>
    <t>En este puesto ha colocado Pablo Casado a Fátima Báñez</t>
  </si>
  <si>
    <t>https://www.huffingtonpost.es/2018/11/20/casado-propone-a-banez-presidir-la-comision-de-asuntos-exteriores-del-congreso_a_23594833/</t>
  </si>
  <si>
    <t>https://pbs.twimg.com/media/Dshu2-tXoAEWJcZ.jpg</t>
  </si>
  <si>
    <t>Raul Corindon</t>
  </si>
  <si>
    <t>#SesiónDeControl Fácilmente pronosticable es la"travesía del desierto"que aguarda al CORRUPTO P.P. d Pablo Casado. Éste INÚTIL terminará envidiando al pobre Hernández Mancha y la derechona decente, cristiana o no, lamentando que esa banda no haya sido ilegalizada como batasunos.</t>
  </si>
  <si>
    <t>CiberCuba</t>
  </si>
  <si>
    <t>Líder del PP, Pablo Casado, critica al socialista Pedro Sánchez por irse a Cuba a "agasajar dictaduras"</t>
  </si>
  <si>
    <t>https://www.cibercuba.com/noticias/2018-11-21-u157374-e157374-s27061-lider-pp-pablo-casado-critica-al-socialista-pedro-sanchez?utm_source=dlvr.it&amp;utm_medium=twitter&amp;utm_campaign=CiberCuba</t>
  </si>
  <si>
    <t>La Habana, Cuba</t>
  </si>
  <si>
    <t>La voz digital de los cubanos. #Cuba #Internet</t>
  </si>
  <si>
    <t>http://www.cibercuba.com/</t>
  </si>
  <si>
    <t>Jaume News!!!</t>
  </si>
  <si>
    <t>Las 20 frases más surrealistas de Pablo casado</t>
  </si>
  <si>
    <t>Indepe de tota la vida!!! Visca el Barça!!! Llarga vida al rock&amp;roll!!! Malalt de notícies. 🎗</t>
  </si>
  <si>
    <t>Nacho Jordán 🏳‍🌈🇪🇸♥🐕</t>
  </si>
  <si>
    <t>Pablo Casado es a la #Historia lo mismo que los que redactan los libros escolares hablando de la Corona catalano-aragonesa o de los Paisös Catalanes, historia ficción. Los #totalitarios lo saben: miente mucho y repítelo sin parar. Siempre tendrán su público 🐑🐑🐑 RT @gerardotc: Bueno, es lo mismo salvo alguna cosa, Pablo. Te explico: Los nazis, que eran amigos del dictador del que surgió el PP, marcaban a los que luego encerraban (y gaseaban). Los lazos amarillos se los coloca uno mismo para pedir que se libere a los encerrados.</t>
  </si>
  <si>
    <t>Zaragoza, Aragón, España</t>
  </si>
  <si>
    <t>LGTBI 🏳️‍🌈 Pro-derechos animales 🐕🐈🐂🐺🐣 Panteísmo 🕉️ Graduado Social 🎓</t>
  </si>
  <si>
    <t>Pablo Casado no es que no aprobara su carrera y se la regalaran,es que directamente no debió de aprobar ni la asignatura de Historia en el instituto.</t>
  </si>
  <si>
    <t>El Pirata y su banda</t>
  </si>
  <si>
    <t>Si para el Gobierno Dolores del Campo es "It is pain of field" para nosotros Mireia Belmonte es Mireia See The Mount o Pablo Casado es Paul Married...A ver quién se atreve a decir que no sabemos inglés 😂</t>
  </si>
  <si>
    <t>http://rkfm.es/vki5z</t>
  </si>
  <si>
    <t>https://pbs.twimg.com/media/DshqZJLXoAAJscz.jpg</t>
  </si>
  <si>
    <t>Todas las mañanas de lunes a viernes y de 6:00 a 10:00 de la mañana, en @RockFM_ES</t>
  </si>
  <si>
    <t>http://www.rockfm.fm/elpirataysubanda</t>
  </si>
  <si>
    <t>Cosidó no dimite y asegura tener el respaldo del líder del PP, Pablo Casado - vía @Gaceta_es- Ese es el problema, el "respaldo" del líder del PP.</t>
  </si>
  <si>
    <t>El pensamiento liberal se fundamenta en el reconocimiento y garantía de los derechos individuales.</t>
  </si>
  <si>
    <t>Pablo Casado: "Cuando aquí decimos frente a los populismos europeos e hispanos que Venezuela queda muy lejos, tenemos que tomar nota de qué rápido llegó la marea y la resaca"</t>
  </si>
  <si>
    <t>https://pbs.twimg.com/media/DshqYqjWoAUEagV.jpg</t>
  </si>
  <si>
    <t>Robert Prieto</t>
  </si>
  <si>
    <t>Igual estoy equivocado... Pero hace tiempo que me lo pregunto: ¿Cuánto más necesitan Pablo Casado o Albert Rivera para sacar al Okupa de la Moncloa vía MOCIÓN DE CENSURA? Ya tienen motivos de sobra en qué ampararse...</t>
  </si>
  <si>
    <t>“Una nación no se pierde porque unos la ataquen, sino porque quienes la aman no la defienden”. Blas de Lezo y Olavarrieta, Almirante español (1689-1741).</t>
  </si>
  <si>
    <t>https://gab.ai/MskRobert</t>
  </si>
  <si>
    <t>Jm García</t>
  </si>
  <si>
    <t>#SesiónDeControl Pablo Casado pide que los escupitajos cuenten como votos a favor</t>
  </si>
  <si>
    <t>la insoportable verdad de ser yo.</t>
  </si>
  <si>
    <t>MissAzucena</t>
  </si>
  <si>
    <t>Sánchez Castejón NO y Pablo Casado sí, pero para mí ABASCAL es el mejor y con mucha diferencia RT @Pabddefuga: @AzucenaMiss El que tiene categoría es @sanchezcastejon o @pablocasado_ diga usted que sí</t>
  </si>
  <si>
    <t>https://twitter.com/Pabddefuga/status/1065197855416164352</t>
  </si>
  <si>
    <t>La pregunta de Pablo Casado a Pedro Sánchez era sobre Andalucía, pero también sacó a colación la crisis...</t>
  </si>
  <si>
    <t>https://www.libertaddigital.com/espana/politica/2018-11-21/casado-acusa-a-sanchez-de-malograr-el-cgpj-y-este-le-dice-que-a-su-lado-rajoy-es-un-moderado-1276628567/</t>
  </si>
  <si>
    <t>Juana Campillo</t>
  </si>
  <si>
    <t>https://okdiario.com/espana/2018/11/21/casado-propone-que-jueces-elijan-cgpj-mientras-sanchez-aferra-reparto-politico-3374499#.W_VDKRypRaA.twitter</t>
  </si>
  <si>
    <t xml:space="preserve">Valencia. nacida en Covadonga </t>
  </si>
  <si>
    <t>Gran soñadora, sueña por un mundo mejor, que haya paz en él, la historia y monumentos de cada nación sean respetados, las vidas,respeto, respeto ¿existes?</t>
  </si>
  <si>
    <t>Denis</t>
  </si>
  <si>
    <t>Anabel Alonso destroza a Pablo Casado en Twitter con una mofa --</t>
  </si>
  <si>
    <t>https://www.ecorepublicano.es/2018/11/anabel-alonso-destroza-pablo-casado-en.html</t>
  </si>
  <si>
    <t>https://okdiario.com/espana/2018/11/21/casado-propone-que-jueces-elijan-cgpj-mientras-sanchez-aferra-reparto-politico-3374499#.W_VCz_MH6YA.twitter</t>
  </si>
  <si>
    <t>Pablo Echenique</t>
  </si>
  <si>
    <t>Ayer, después de que se destapara el mamoneo del PP para controlar el CGPJ y el Supremo "por detrás", Pablo Casado propuso una reforma fantabulosa del sistema de elección de los jueces. Pues bien, parece que no solamente copiaba en el máster... 🙈👇</t>
  </si>
  <si>
    <t>https://www.eldiario.es/politica/PP-propone-enmienda-tomando-obsoletas_0_838166244.html</t>
  </si>
  <si>
    <t>Científico del CSIC en @ahorapodemos. Buscando e intentando reconocer quién y qué, en medio del infierno, no es infierno. Para hacerlo durar, y darle espacio.</t>
  </si>
  <si>
    <t>https://www.facebook.com/pablo.echenique/</t>
  </si>
  <si>
    <t>Pablo Casado, el demócrata, pide ilegalizar toda la oposición por si acaso. De su propio partido que ha cometido fraude electoral, no ha comentado nada.</t>
  </si>
  <si>
    <t>Jon</t>
  </si>
  <si>
    <t>Ufffff mejor no resucitemos a Montesquieu por que igual le peta la patatita y se vuelve al hoyo con semejante abominación. Pd: Pablo Casado ha hecho copypaste de la LOPJ del 80?!!!!!!! RT @TeoGarciaEgea: La enmienda Casado fortalece nuestra justicia y mejora el sistema de elección de los miembros del consejo general del poder judicial Resucitemos a Montiesquieu Seguiremos trabajando por ESPAÑA 🇪🇸</t>
  </si>
  <si>
    <t>https://twitter.com/TeoGarciaEgea/status/1064966554905919489
https://twitter.com/pablocasado_/status/1064961885383114754</t>
  </si>
  <si>
    <t>A veces sorprendo a la gente, pero muy poquitas veces. De la terreta // Seriefilo y melómano // LAW ⚖️</t>
  </si>
  <si>
    <t>Prudence</t>
  </si>
  <si>
    <t>Pablo Casado está pidiendo que se ilegalice el PP por ser una organización populista. Así sí. RT @iescolar: El PP pide ilegalizar organizaciones "comunistas y populistas" como requisito para condenar el franquismo</t>
  </si>
  <si>
    <t>https://twitter.com/iescolar/status/1065200959368908801
https://www.eldiario.es/politica/PP-ilegalizacion-organizaciones-comunistas-populistas_0_837817434.html</t>
  </si>
  <si>
    <t>Estoy aprendiendo Photoshop y uso Twitter para inspirarme en mis proyectos de mierda, y también por los loles.</t>
  </si>
  <si>
    <t>Jaume ||*||</t>
  </si>
  <si>
    <t>Sánchez a Casado: "La deriva del PP no pot implicar a les institucions" via @elnacionalcat</t>
  </si>
  <si>
    <t>https://goo.gl/SHtmce</t>
  </si>
  <si>
    <t>Catalonia</t>
  </si>
  <si>
    <t>Catalá. Independentista. Membre de Plé Dret de l'ANC i lluitant per la llibertat del meu pais. CATALUNYA !!!!</t>
  </si>
  <si>
    <t>AURELIA JEREZ MEDINA</t>
  </si>
  <si>
    <t>http://va.newsrepublic.net/s/YswkZY</t>
  </si>
  <si>
    <t>AZUQUECA DE HENARES</t>
  </si>
  <si>
    <t>Presidenta de la Coordinadora Estatal de Plataformas de Dependencia (COES LAPAD) @coordinadoradep</t>
  </si>
  <si>
    <t>http://pensandoenmirincon.blogspot.es/</t>
  </si>
  <si>
    <t>Vale, Pablo Casado lo dice ahora por oportunismo, política, porque le conviene, pero, es suficiente esto para no apoyarlo? Cojamos el guante y reformemos la forma de escoger el CGPJ, es crítico, no hay excusas</t>
  </si>
  <si>
    <t>https://m.eldiario.es/politica/Casado-aprovecha-Senado-proponer-CGPJ_0_837817427.html</t>
  </si>
  <si>
    <t>Como Ana Pastor retire la palabra golpista no sé de qué van a hablar Pablo Casado y Albert Rivera en el Pleno del Congreso...</t>
  </si>
  <si>
    <t>Marisa de Toro</t>
  </si>
  <si>
    <t>Muy mal Pablo Casado. La reforma de la LOPJ la tenía que haber presentado nada más ganar las primarias. No después de participar del pasteleo del CGPJ. No es creíble</t>
  </si>
  <si>
    <t>Bcn</t>
  </si>
  <si>
    <t>Plumilla en @ecd_ y en @confijudicial. Galicia, mi patria chica. Te quiero @atleti</t>
  </si>
  <si>
    <t>https://www.elconfidencialdigital.com/</t>
  </si>
  <si>
    <t>MONTESQUIEU-1956</t>
  </si>
  <si>
    <t>EUROPA-ESPAÑA.-</t>
  </si>
  <si>
    <t>POR LA LIBERTAD INDIVIDUAL Y ECONÓMICA.NO A LO POLÍTICAMENTE CORRECTO.BUSCANDO SIEMPRE LA VERDAD.DERECHO Y CRIMINOLOGÍA.</t>
  </si>
  <si>
    <t>http://www.sajimes.blogspot.com</t>
  </si>
  <si>
    <t>Perdulari</t>
  </si>
  <si>
    <t>Que asco de gentuza viendo por TV en el Congreso de lo Diputados a Pablo Casado y a Josep Borrell, me dan ganas de vomitar, lastima no poder hacerlo encima de estos elementos.</t>
  </si>
  <si>
    <t>Josep Borrell es un viejo senil que escucha lo que quiere, ya que Gabriel Rufián no le ha llamado racista al ministro de exteriores y por eso se ha montado lo que se ha montado. Vamos yo veo muchas veces Albert Rivera y Pablo Casado insultando a Pablo Iglesias cada vez que habla</t>
  </si>
  <si>
    <t>DIEGO #YoConPedro</t>
  </si>
  <si>
    <t>Rivera se niega a calificar a Vox como un partido de extrema derecha.  vía @diario_16 O sea, hace lo mismo que su "hermano gemelo" Pablo Casado. Ahora vas y votas a esta gente.</t>
  </si>
  <si>
    <t>http://diario16.com/rivera-se-niega-calificar-vox-partido-extrema-derecha/</t>
  </si>
  <si>
    <t>Socialista con principios, de izquierda. Militante de base del @PSOE. Amante de la libertad y la democracia.</t>
  </si>
  <si>
    <t>Baelo Claudia</t>
  </si>
  <si>
    <t>http://www.elclubdelosviernes.org</t>
  </si>
  <si>
    <t>No soy un hombre, ni un poeta, ni una hoja, sino un pulso herido que presiente el más allá. Federico García Lorca ( 1898-1936 )❤️🧡💜</t>
  </si>
  <si>
    <t>SpazianiG</t>
  </si>
  <si>
    <t>LA RUINA EN ANDALUCÍA - Rajoy moderado comparado con usted (Pablo Casado - Pedro Sánchez)  vía @YouTube</t>
  </si>
  <si>
    <t>https://youtu.be/96kKaNMl8Ro</t>
  </si>
  <si>
    <t>Comercio Internacional,hablo español, italiano, poco ingles y portugués.</t>
  </si>
  <si>
    <t>GranCanariaTV</t>
  </si>
  <si>
    <t>LA RUINA EN ANDALUCÍA - Rajoy moderado comparado con usted (Pablo Casado - Pedro Sánchez) #FelizMiércoles #DíaMundialdelaTelevisión #congresoAPD #CooperaPaCuando #DíaMundialdelaTelevisión #OTDirecto21NOV La OCDE, Bankia  vía @YouTube</t>
  </si>
  <si>
    <t>http://www.GranCanariaTV.com nace con la intención de convertirse en un medio de comunicación donde todos pueden participar.</t>
  </si>
  <si>
    <t>http://www.GranCanariaTV.com</t>
  </si>
  <si>
    <t>Ricardo Domínguez</t>
  </si>
  <si>
    <t>💬@susanadiaz en #PalmaDelRío: el señor Pablo Casado hoy ha mentido 10 veces en su intervención en el Congreso. Que deje ya de mentir y de insultar a #Andalucía.</t>
  </si>
  <si>
    <t>https://pbs.twimg.com/media/DshUJqbWoAIOO3B.jpg</t>
  </si>
  <si>
    <t>Gaditano en Sevilla. #SoyPeriodista especializado en comunicación institucional y política. Doctorando en la @unisevilla. Comunico desde la @AndaluciaJunta.</t>
  </si>
  <si>
    <t>Juanjo Bandera</t>
  </si>
  <si>
    <t>No se si sabiais que Pablo Casado cobra 1.842€ en dietas por ser Diputado por Avila. Tiene casa en Madrid . Tipos asi no pueden llegar a ser Presidente del Gobierno.</t>
  </si>
  <si>
    <t>Gijón, España</t>
  </si>
  <si>
    <t>El Universo</t>
  </si>
  <si>
    <t>'Cuando siento una necesidad de religión, salgo de noche a pintar las estrellas.''</t>
  </si>
  <si>
    <t>Manolo Coronel</t>
  </si>
  <si>
    <t>Pablo Casado, el gracioso</t>
  </si>
  <si>
    <t>Bonares (Huelva)</t>
  </si>
  <si>
    <t>Maestro de P.T. jubilado y bonariego desde hace 62 años.</t>
  </si>
  <si>
    <t>http://manolocoronel.blogspot.com.es/</t>
  </si>
  <si>
    <t>El PP disuelve el chat de Whatsapp al que Cosidó envió su polémico mensaje Hay que reconocer que Pablo Casado toma edidas contundentes para atajar los despropositos ¿Y este es el que va a regenerar el PP? NO SE LO CRRE MI ARTO VINO</t>
  </si>
  <si>
    <t>Nando J. Bosch</t>
  </si>
  <si>
    <t>Si buscáis @pablocasado_ en Google, poniendo “Pablo Casado” y ya, lo primero que os sale en personajes relacionados es Franco xddd</t>
  </si>
  <si>
    <t>https://pbs.twimg.com/media/DshRd-FXoAAOw2E.jpg</t>
  </si>
  <si>
    <t>Premià de Dalt, Espanya</t>
  </si>
  <si>
    <t>4º Estado</t>
  </si>
  <si>
    <t>Hace poco el líder de la oposición Pablo Casado, llamó golpista al PRESIDENTE del Gobierno. Ana Pastor ni se inmutó y no pasó NADA... bueno, sí, el posterior reparto de jueces lo hicieron sin mirarse a los ojos. (Gabriel Rufián+Borrell)*#SesionDeControl = #FelizMiércoles</t>
  </si>
  <si>
    <t>CUENTA OFICIAL de Mindundi_35067. Sobre propiedad de medios de producción, ingesta de carros y carretas y el peluquero de Donald Trump.</t>
  </si>
  <si>
    <t>۞ Estrella Tartéssica ۞</t>
  </si>
  <si>
    <t>- Albert Rivera: "Golpistas", "Capullo", "Gilipollas" ✔ - Pablo Casado: "Golpista" ✔ - Maroto: "Sucia ministra" ✔ - Girauta: "Sinvergüenza" ✔ - Rufián: "Indigno", "Fascista" ✖ - Irene Montero: "Machirulo" ✖ - Podemos: Carteles contra los CIE ✖</t>
  </si>
  <si>
    <t xml:space="preserve">República de Andalucía. </t>
  </si>
  <si>
    <t>"Si existe un Dios, él tendrá que rogarme a mí para que yo le perdone". (Inscripción realizada por un preso en un muro de Auschwitz).</t>
  </si>
  <si>
    <t>Sotillo</t>
  </si>
  <si>
    <t>Pablo Casado, Licenciado en derecho y Máster en Derecho Autonómico y Local. RT @eldiarioes: El PP improvisa una reforma del Poder Judicial copiando artículos de una ley obsoleta de 1980</t>
  </si>
  <si>
    <t>https://twitter.com/eldiarioes/status/1065181913596477440
https://www.eldiario.es/politica/PP-propone-enmienda-tomando-obsoletas_0_838166244.html</t>
  </si>
  <si>
    <t>https://pbs.twimg.com/media/DshJRbnXgAEUjqv.jpg</t>
  </si>
  <si>
    <t>Amante del mundo del motor, del ciclismo y del deporte en general. Cine, un libro, montaña y una cerveza fría con los amigos. Ingeniero.</t>
  </si>
  <si>
    <t>Machanger Z</t>
  </si>
  <si>
    <t>Pablo Casado: Nosotros no vamos a contribuir a ese desprestigio del poder judicial</t>
  </si>
  <si>
    <t>pic.twitter.com/O5ExNinJLh</t>
  </si>
  <si>
    <t>Frase profunda: “Tú eres tonto o qué?” (Mi madre). Discúlpame si he dicho algo que te haya hecho pensar que me importa...</t>
  </si>
  <si>
    <t>Carmen Prados</t>
  </si>
  <si>
    <t>#Andalucia Sánchez a Casado: "No se puede aspirar a gobernar Andalucía despreciando a Andalucía"</t>
  </si>
  <si>
    <t>https://ift.tt/2PJ5kKL</t>
  </si>
  <si>
    <t>La Roda, Pedrera, Sevilla</t>
  </si>
  <si>
    <t>📲 #SoyPeriodista 👩🏽‍💻 #Journalist | #RedesSociales #MarketingDigital | #MarcaPersonal | #Comunicación y 50% en @casatconmigo 👰🏼 y @corazonAndaluci 🤘🏼</t>
  </si>
  <si>
    <t>http://www.carmenprados.com</t>
  </si>
  <si>
    <t>Juan Salinas</t>
  </si>
  <si>
    <t>📰 @Cambio16 reconoce el talento de Pedro Piqueras, Carolina Marín, Iván Duque y Pablo Casado, entre otros. #PremiosCambio16</t>
  </si>
  <si>
    <t>https://www.europapress.es/sociedad/noticia-cambio16-reconoce-talento-pedro-piqueras-carolina-marin-ivan-duque-pablo-casado-otros-20181120133047.html</t>
  </si>
  <si>
    <t>Periodista 📰 | Cultura en @Cambio16. Cubriendo la actualidad del @Atleti.</t>
  </si>
  <si>
    <t>Tribuna País Vasco</t>
  </si>
  <si>
    <t>Pablo Casado: “Credos que acaban en una radicalización violenta no tienen cabida en España”.</t>
  </si>
  <si>
    <t>https://pbs.twimg.com/media/DshLYv3X4AAdLRP.jpg</t>
  </si>
  <si>
    <t>San Sebastián (España)</t>
  </si>
  <si>
    <t>Una mirada global al mundo desde el País Vasco. Contenidos relevantes y puntos de vista diferentes. Nuevos medios y nuevas idea para los nuevos tiempos.</t>
  </si>
  <si>
    <t>http://www.latribunadelpaisvasco.com</t>
  </si>
  <si>
    <t>Carlos Pareja González</t>
  </si>
  <si>
    <t>Susana Díaz, Pablo Casado y Albert Rivera, usan la campaña andaluza para desempolvar los fantasmas, que si Franco, que si Cataluña, que si los rojos, estoy harto, ¿y quien habla de los problemas de los andaluces?, y no son pocos, os lo digo yo que vivo en Málaga, iros a la ......</t>
  </si>
  <si>
    <t>Soy un tipo de 61 años con una vida rica y variada en lo profesional y en lo personal, superé ayer un cáncer y hoy escribo artículos y novelas y procuro VIVIR.</t>
  </si>
  <si>
    <t>Antonio Jimeno</t>
  </si>
  <si>
    <t>El PP debe volver a defender VALORES y a abandonar los tacticismos. Si Pablo Casado no es capaz de hacerlo y de cesar a Cosido, Català, Méndez de Vigo y otros como ellos, es mejor que el PP desaparezca. De esto último no hace falta que se preocupe, ya lo harán sus votantes.</t>
  </si>
  <si>
    <t>Defensor del uso del catalán y del español, y de evitar el adoctrinamiento, en escuelas y medios comunic. Sí a las evaluaciones finales de ESO para conseguirlo.</t>
  </si>
  <si>
    <t>http://www.ames-fps.com</t>
  </si>
  <si>
    <t>Rubén Cembranos</t>
  </si>
  <si>
    <t>Ciertamente el PP de Pablo Casado puede llegar a ser el partido político más ridículo jamás conocido en España.</t>
  </si>
  <si>
    <t>Hago fotos sin poner el dedo delante del objetivo (la mayoría de las veces). Nunca pensé que pudiera ser tan optimista.</t>
  </si>
  <si>
    <t>ZULU-AG</t>
  </si>
  <si>
    <t>Un Gobierno socialista que no da una, la extrema izquierda de baja y un Ciudadanos que no acaba de convencer a una mayoría podrían dar muchas posibilidades a Pablo Casado para llegar a la Moncloa en muy poco tiempo  vía @libertaddigital</t>
  </si>
  <si>
    <t>https://www.libertaddigital.com/opinion/luis-asua/tiempos-para-la-epica-86520/</t>
  </si>
  <si>
    <t>Francisco Romero ®</t>
  </si>
  <si>
    <t>No me dirán que Moreno Bonilla está mal asesorado</t>
  </si>
  <si>
    <t>Valverde/Los Pinos/Valdelamusa</t>
  </si>
  <si>
    <t>Por aquí sigo(aún)</t>
  </si>
  <si>
    <t>https://www.facebook.com/francisco.romero.520</t>
  </si>
  <si>
    <t>Borja Puig Bellacasa</t>
  </si>
  <si>
    <t>Pablo Casado y la economía vudú -</t>
  </si>
  <si>
    <t>http://www.jcdiez.com/2018/07/23/pablo-casado-y-la-economia-vudu/</t>
  </si>
  <si>
    <t>Soy un privilegiado por haber trabajado al lado de personas extraordinarias , Martin Chirino, Jordi Solé Tura, Jorge Semprún, Luis Bassat,...</t>
  </si>
  <si>
    <t>Rocío Núñez</t>
  </si>
  <si>
    <t>Pablo Casado siempre ha sido muy de copiar, y ni así ha conseguido sacarse sus títulos formativos él solito. 🙄🙄 RT @AntonioMaestre: Hay que reconocer a @pablocasado_ su esfuerzo por superar el ridículo cada día. Para reaccionar a la renuncia de Marchena copian una ley derogada de 1980 para presentarla como actual</t>
  </si>
  <si>
    <t>https://twitter.com/AntonioMaestre/status/1065178686058573829
https://elpais.com/politica/2018/11/20/actualidad/1542754334_277796.html?id_externo_rsoc=TW_CC</t>
  </si>
  <si>
    <t>El Prat de Llobregat</t>
  </si>
  <si>
    <t>Rubia natural, pero sin un pelo de tonta. Escribo para sobrevivir en http://potablava13.blogspot.com.es ▪️Periodista ▪️Marketing Digital ▪️Community Manager</t>
  </si>
  <si>
    <t>https://www.linkedin.com/in/rocio-nunez-carrasco/</t>
  </si>
  <si>
    <t>Buffay</t>
  </si>
  <si>
    <t>Si Pedro Sánchez no sale ahora mismo a romper públicamente cualquier tipo de negociaron con Esquerra es que su ansia de poder es mucho peor de lo que creíamos. Recordemos que rompió relaciones con Pablo Casado por mucho menos.</t>
  </si>
  <si>
    <t>Dos son mis pasiones: Friends y andar descalza. Judie recoge calcetín, RECOGE EL CALCETIN, RECOGE EL CALCETIIIIIIIIN.</t>
  </si>
  <si>
    <t>Populares Tíjola</t>
  </si>
  <si>
    <t>Este viernes 2⃣3⃣de noviembre, contaremos en Fines con la presencia de Pablo Casado en un mitin en el Pabellón de Deportes de Fines. Os esperamos a las 19:15 en una cita ineludible con el Presidente del Partido Popular 🅿🅿 #VotaGarantíaDeCambio</t>
  </si>
  <si>
    <t>https://www.facebook.com/PPTijola/posts/2211799388838264</t>
  </si>
  <si>
    <t>Tíjola (Almería)</t>
  </si>
  <si>
    <t>Cuenta del Partido Popular de Tíjola (Almería). @pp_almeria @ppandaluz</t>
  </si>
  <si>
    <t>https://www.facebook.com/PPTijola</t>
  </si>
  <si>
    <t>De esta guisa he conocido ya a unos cuantos. ¡Qué estafa!</t>
  </si>
  <si>
    <t>tino</t>
  </si>
  <si>
    <t>Cosidó descarta dimitir tras la renuncia de Marchena y se siente respaldado por Pablo Casado</t>
  </si>
  <si>
    <t>Poyabanda</t>
  </si>
  <si>
    <t>Pedro Sánchez y Pablo Casado trabajarán como jueces por las tardes mientras no se escoja a un nuevo presidente del Poder Judicial  Enviado desde @updayESP</t>
  </si>
  <si>
    <t>https://www.elmundotoday.com/2018/11/pedro-sanchez-y-pablo-casado-trabajaran-como-jueces-por-las-tardes-mientras-no-se-escoja-a-un-nuevo-presidente-del-poder-judicial/</t>
  </si>
  <si>
    <t>El sistema corrupto. y la clase trabajadora de campo y playa.</t>
  </si>
  <si>
    <t>Reinicia Catalunya</t>
  </si>
  <si>
    <t>Cosidó: “Me siento plenamente respaldado por Pablo Casado”  via @diario_16</t>
  </si>
  <si>
    <t>http://diario16.com/cosido-me-siento-plenamente-respaldado-pablo-casado/</t>
  </si>
  <si>
    <t>La Convenció Constituent Ciutadana de Catalunya ja ha començat. Reinicia Catalunya aglutina les iniciatives que volen impulsar el procés constituent</t>
  </si>
  <si>
    <t>http://reiniciacatalunya.cat</t>
  </si>
  <si>
    <t>Europa Press</t>
  </si>
  <si>
    <t>Sánchez a Casado: "No se puede aspirar a gobernar Andalucía despreciando a Andalucía"</t>
  </si>
  <si>
    <t>https://www.europapress.es/andalucia/noticia-pedro-sanchez-pablo-casado-no-puede-aspirar-gobernar-andalucia-despreciando-andalucia-20181121103930.html</t>
  </si>
  <si>
    <t>Twitter oficial de la agencia de noticias Europa Press de Andalucía</t>
  </si>
  <si>
    <t>http://www.europapress.es/andalucia/</t>
  </si>
  <si>
    <t>antonio</t>
  </si>
  <si>
    <t>Santa Pola y Don Benito</t>
  </si>
  <si>
    <t>Socialista sin más etiquetas, viviendo entre Don Benito y Santa Pola</t>
  </si>
  <si>
    <t>Arthegarn, Peregrino</t>
  </si>
  <si>
    <t>Pablo casado ha twitteado que el PP ha presentado una enmienda a la LOPJ que es la definición de reaccionaria. Tan, tan reaccionaria que no es solo que esté fusilada de lo que decía antes la LOPJ sobre la elección... RT @pablocasado_: Acabamos de presentar en el Senado esta enmienda a la reforma de la Ley Orgánica del Poder Judicial, para volver al sistema de elección del Consejo General del Poder Judicial que consagra la Constitución y fortalecer la independencia judicial y la separación de poderes en España.</t>
  </si>
  <si>
    <t>http://www.arthegarn.com</t>
  </si>
  <si>
    <t>PABLO CASADO propone reformar el sistema de elección de los jueces del CGPJ:  via @YouTube</t>
  </si>
  <si>
    <t>http://youtu.be/xmf4wi0A-l8?a</t>
  </si>
  <si>
    <t>jerez de la frontera</t>
  </si>
  <si>
    <t>Ibon Uría Molero</t>
  </si>
  <si>
    <t>Al PP de Pablo Casado le importa tan poco Andalucía que primero registra una pregunta sobre esa tierra... y luego la usa para algo completamente diferente. 🙈😡</t>
  </si>
  <si>
    <t>https://pbs.twimg.com/media/DshE2S_XQAADBCf.jpg</t>
  </si>
  <si>
    <t>Periodismo. Comunicación política. Aprendí en 20minutos, infoLibre, la SER y EFE. De Bilbao. Echo de menos el mar.</t>
  </si>
  <si>
    <t>https://www.linkedin.com/in/iuriamolero/</t>
  </si>
  <si>
    <t>I added a video to a @YouTube playlist  PABLO CASADO propone reformar el sistema de elección de los jueces del</t>
  </si>
  <si>
    <t>Pablo Casado llama “golpista” a Sánchez. El PSOE rompe relaciones. Gabriel Rufián llama fascista a Borrell y uno de sus diputados le escupe. El PSOE sacará a sus compañeros de la carcel y pactarán cuando sea con ERC. Se lo han ganado a pulso</t>
  </si>
  <si>
    <t>🇪🇸 España y los españoles primero 🇪🇸</t>
  </si>
  <si>
    <t>Vegeta Rihanno</t>
  </si>
  <si>
    <t>Las ganas de morirse del perro, al tocarle Pablo Casado, me representa...</t>
  </si>
  <si>
    <t>https://pbs.twimg.com/media/DshC_gCXoAAUDAV.jpg</t>
  </si>
  <si>
    <t>Poeta de lo que tengo aquí colgado. Sensei de Cock McGuinness. Propenso a los desastres naturales. Picsita para los amigos.</t>
  </si>
  <si>
    <t>Politikeo UM7BJ</t>
  </si>
  <si>
    <t>Pedro Sánchez, a Pablo Casado: "A su lado Rajoy es un moderado y más serio que usted":  vía @YouTube</t>
  </si>
  <si>
    <t>http://youtu.be/C1IJqtNsuUc?a</t>
  </si>
  <si>
    <t>Creador del canal Youtube UM7BJ (giroizquierdadebate). El mundo se divide, entre indignos e indignados, ya sabrá cada quien de qué lado quiere o puede estar✊</t>
  </si>
  <si>
    <t>https://www.youtube.com/channel/UCCx9Dm5y3XklFmIq4thw_SQ</t>
  </si>
  <si>
    <t>ate-cgt-ourense</t>
  </si>
  <si>
    <t>Los últimos acontecimientos han resquebrajado el único acuerdo institucional alcanzado por el Gobierno de Pedro Sánchez y el PP de Pablo Casado han alcanzado desde que se produjo el relevo en la cúpula del Partido Popular, por bocazas los dos! RT @GirautaOficial: “Albert Rivera, es el único que se salva, porque siempre se mantuvo al margen del infame conchabeo. En adelante, los partidos tendrán que retratarse por su grado de aprecio a la separación de poderes.” ‘El juez que dijo basta de política’</t>
  </si>
  <si>
    <t>https://twitter.com/GirautaOficial/status/1065146814318460928
https://www.elmundo.es/opinion/2018/11/20/5bf45cdce5fdeae1388b4662.html</t>
  </si>
  <si>
    <t>Pedro Sánchez reivindica a Rajoy frente a Pablo Casado tras el fiasco del CGPJ: "A su lado él era un moderado"</t>
  </si>
  <si>
    <t>https://ift.tt/2S02VrY</t>
  </si>
  <si>
    <t>Libertad FM</t>
  </si>
  <si>
    <t>El presidente del Gobierno, Pedro Sánchez, ha replicado hoy al líder del Partido Popular, Pablo Casado, que "la deriva del PP no puede implicar la d...</t>
  </si>
  <si>
    <t>https://libertadfm.es/2018/11/21/sanchez-a-casadola-deriva-del-pp-no-puede-implicar-la-de-las-instituciones/</t>
  </si>
  <si>
    <t>Cuenta oficial de Libertad FM, la radio nacional generalista basada en el entretenimiento y la información.</t>
  </si>
  <si>
    <t>http://www.LibertadFM.es</t>
  </si>
  <si>
    <t>Buenos Días Madrid</t>
  </si>
  <si>
    <t>El presidente del Gobierno, Pedro Sánchez, y el líder del PP, Pablo Casado, se han acusado mutuamente este miércoles de haber malogrado el pacto.</t>
  </si>
  <si>
    <t>http://telemd.es/vfg3i2</t>
  </si>
  <si>
    <t>El programa de las mañanas de @Telemadrid presentado por @Veronicasanztv y @ricardoaltable con tráfico, tiempo, actualidad... Lunes a Viernes a las 7:00 horas</t>
  </si>
  <si>
    <t>http://www.telemadrid.es/buenosdiasmadrid</t>
  </si>
  <si>
    <t>Miguel R. Fervenza</t>
  </si>
  <si>
    <t>Pablo Casado sobre se Vox é de extrema dereita: «Yo no defino al resto de partidos». Albert Rivera sobre se Vox é de extrema dereita: «No soy analista político, eso se lo dejo a ustedes». Non sei por que andades a dicir que John Jackson e Jack Johnson son clons.</t>
  </si>
  <si>
    <t>Denantes</t>
  </si>
  <si>
    <t>Literatura, cinema silente, aventuras gráficas (@Indiefence) e baloncesto (falo decote do SuperManager). O maxín tras @ViladeDenantes. A escribir.</t>
  </si>
  <si>
    <t>http://miguelrfervenza.com/</t>
  </si>
  <si>
    <t>Escena III del segundo acto del teatrillo político Rufian: Es usted indigno. Ana Pastor: Le expulso del hemiciclo, tiene la palabra Pablo Casado. Pablo Casado: Presidente, es usted un golpista. Presidente: ¡Protesto! Ana Pastor: No procede.</t>
  </si>
  <si>
    <t>El tío de la tara</t>
  </si>
  <si>
    <t>Ana Pastor ha expulsado a Pablo Casado por llamar golpista al presidente del Gobierno. Perdón, ha expulsado a Rufiàn por llamar indigno a un indigno.</t>
  </si>
  <si>
    <t>Soy gilipollas, no os hagáis ilusiones.</t>
  </si>
  <si>
    <t>Eva</t>
  </si>
  <si>
    <t>No teníamos suficiente con que Pablo Casado hubiera pisado nuestro mihrab que ahora lo está haciendo Abascal. Lloro del asco.</t>
  </si>
  <si>
    <t>Femme fatale. Cordonazi</t>
  </si>
  <si>
    <t>Una pregunta que lanzó al votante de derechas. ¿Alguien se siente identificado con un patán como Pablo Casado?</t>
  </si>
  <si>
    <t>Pedro Sánchez y Pablo Casado, se verán hoy por primera vez tras la ruptura del pacto entre PP y PSOE para renovar el Consejo General del Poder Judicial (CGPJ)</t>
  </si>
  <si>
    <t>https://www.lavanguardia.com/politica/20181121/453077420673/congreso-diputados-sesion-control-gobierno-pedro-sanchez-hoy-en-directo.html?utm_source=twitter_lv&amp;utm_medium=social</t>
  </si>
  <si>
    <t>Gaspar Llanes</t>
  </si>
  <si>
    <t>"El PP y la economía vudú" por @josecdiez</t>
  </si>
  <si>
    <t>Secretario General de Economía. Humanista. Muy de mi tierra: de Triana, andaluz y español.</t>
  </si>
  <si>
    <t>La Vanguardia</t>
  </si>
  <si>
    <t>Twitter oficial de 'La Vanguardia' Información al minuto nacional e internacional</t>
  </si>
  <si>
    <t>http://www.LaVanguardia.com</t>
  </si>
  <si>
    <t>Luis Miguel🌟#MGWV🌟</t>
  </si>
  <si>
    <t>¿Nadie habla bable en Asturias? Truco de Pablo Casado:  vía @maldita_es</t>
  </si>
  <si>
    <t>https://maldita.es/malditodato/nadie-habla-bable-en-asturias-el-truco-de-pablo-casado/</t>
  </si>
  <si>
    <t>Madrid, España🇪🇸</t>
  </si>
  <si>
    <t>🦂#MGWV🦂 #1DDrive 🔥♻️#Ecologia #MedioAmbiente🌍#HumanRight 👨‍👩‍👦‍👦 #StopAnimalAbuse 🐃🐾#StopCaza 🦌#care2📩http://Telegram.me/Fotos/Enlaces</t>
  </si>
  <si>
    <t>http://facebook.com/luismiguel.clavijomontesinos</t>
  </si>
  <si>
    <t>Món mundial de CAT</t>
  </si>
  <si>
    <t>https://ift.tt/2FxKR79</t>
  </si>
  <si>
    <t>Leguevin, França</t>
  </si>
  <si>
    <t>- El món mundial de Catalunya ||★|| - Català del nord, independentista, casat, 3 nens.</t>
  </si>
  <si>
    <t>http://buff.ly/1hrqMt4</t>
  </si>
  <si>
    <t>Jules</t>
  </si>
  <si>
    <t>Pablo Casado diciendo a Sánchez que respete la independencia del Poder Judicial el mismo día que se destapa que su Portavoz en el Senado, y ex Director de la Policía, estuvo maniobrando para colocar jueces e influir en procesos judiciales. Es que es un sinvergüenza de campeonato.</t>
  </si>
  <si>
    <t>La revolución será feminista.</t>
  </si>
  <si>
    <t>Mérida</t>
  </si>
  <si>
    <t>Compañero le pregunta al profesor su opinión sobre la Monarquía Y CLARO QUE LA VA A AMAR SI ES UN C O N D E en seguida se va a tirar un piropo a Cristobal Colón al mejor estilo Pablo Casado</t>
  </si>
  <si>
    <t>Salta, Argentina</t>
  </si>
  <si>
    <t>Ubriacatevi di baci.</t>
  </si>
  <si>
    <t>Pedro Sánchez reclama a Pablo Casado que respecti el pacte per renovar el poder judicial</t>
  </si>
  <si>
    <t>Última hora política i econòmica de Catalunya, Espanya i internacional. Creat per @joseantich. FB: http://facebook.com/elnacionalcat Telegram: https://t.me/Elnacionalcat</t>
  </si>
  <si>
    <t>http://www.elnacional.cat</t>
  </si>
  <si>
    <t>Pedro Sánchez avisa a Pablo Casado que la deriva del PP no pot portar a la deriva del poder judicial</t>
  </si>
  <si>
    <t>https://www.elnacional.cat/es/politica/pedro-sanchez-pablo-casado-poder-judicial_326823_102.html</t>
  </si>
  <si>
    <t>Así que para Pablo Casado el problema de la intromisión del PP y del PSOE en el control del CGPJ no es la propia intromisión política sino porque se filtre el nombre de Marchena. O sea,si el nombre no se filtra cojonudo,si se filtra mal.</t>
  </si>
  <si>
    <t>Caso Aislado</t>
  </si>
  <si>
    <t>Así fue la intervención de Pablo Casado en el Congreso de los Diputados. Pedro Sánchez vuelve a ser vapuleado por el líder del Partido Popular.</t>
  </si>
  <si>
    <t>pic.twitter.com/bIaLS6yaPf</t>
  </si>
  <si>
    <t xml:space="preserve">España </t>
  </si>
  <si>
    <t>Cuenta oficial de @CasoAislado_es. Medio independiente.</t>
  </si>
  <si>
    <t>http://www.casoaislado.com</t>
  </si>
  <si>
    <t>Pablo Casado en la entrega de premios de #Cambio16: "Yo también soy jeffersoniano porque pienso que es mejor un país sin gobierno y con periódicos que lo contrario"</t>
  </si>
  <si>
    <t>https://pbs.twimg.com/media/DsgzdOoW0AEb2na.jpg</t>
  </si>
  <si>
    <t>En el PP no paran: "…ya le buscan relevo a Pablo Casado…" "Ni Aznar, ni Santamaría, ni Feijóo", por @Alejandro_vara</t>
  </si>
  <si>
    <t>https://www.vozpopuli.com/opinion/aznar-santamaria-feijoo_0_1192680987.html</t>
  </si>
  <si>
    <t>Félix Álvarez</t>
  </si>
  <si>
    <t>Pablo Casado reprochándole a Pedro Sánchez no sé qué de la independencia judicial, y el presidente Sánchez pidiéndole que cumpla el pacto sobre el CGPJ. ¡Qué papelón y que triste para España!</t>
  </si>
  <si>
    <t>Diputado por Cantabria. XII Legislatura. Grupo parlamentario de Ciudadanos. Portavoz de Cultura. Portavoz Autonómico de Cs Cantabria. Santander</t>
  </si>
  <si>
    <t>http://felixalvarez66.blogspot.com</t>
  </si>
  <si>
    <t>Julio Villarrubia</t>
  </si>
  <si>
    <t>El populista de derechas Pablo Casado improvisa una vieja aspiración de los jueces para elegirse entre ellos,en lugar de depurar responsabilidades</t>
  </si>
  <si>
    <t>Palencia</t>
  </si>
  <si>
    <t>http://Palentino.Abogado.Enemigo activo de la injusticia y la corrupción.Diputado en el Congreso,por el Psoe,desde 1996 a 2015.</t>
  </si>
  <si>
    <t>http://www.psoepalencia.org</t>
  </si>
  <si>
    <t>Zoidberg</t>
  </si>
  <si>
    <t>"Saliste del chat de Chanchullos" "Pablo Casado te invita a unirte al chat 'Aquí no hay chanchullos (guiño guiño)'" RT @EFEnoticias: El PP disuelve el chat de Whatsapp al que Cosidó envió su polémico mensaje</t>
  </si>
  <si>
    <t>https://twitter.com/EFEnoticias/status/1064934329271373827</t>
  </si>
  <si>
    <t>Idiota a tiempo completo. Programador a ratos. Especialista en quemar pizzas</t>
  </si>
  <si>
    <t>Pasanospoco</t>
  </si>
  <si>
    <t>Ya sabemos que la carrera de Derecho de Pablo Casado es de todo a 1 euro, pero...¿NO TIENE NADIE ALREDEDOR CON UN MÍNIMO CONOCIMIENTO? #LaCafeteraDesCosido #SesiónDeControl</t>
  </si>
  <si>
    <t>Me refugio en el Derecho Administrativo</t>
  </si>
  <si>
    <t>César BarbaRoja</t>
  </si>
  <si>
    <t>El repaso que le acaba de dar Pedro Sánchez a Pablo Casado en la sesión de control al Gobierno ha sido épico. Madre mía!</t>
  </si>
  <si>
    <t>Criminólogo especializado en Seguridad Pública. Lo mismo te hablo de política que de realities, no me lo tengas en cuenta. Alicantino en Sevilla.</t>
  </si>
  <si>
    <t>Mazzinguerzetta 🇪🇸</t>
  </si>
  <si>
    <t>Pedro Sánchez, líder de un partido que ha saqueado el sur, diciéndole a Pablo Casado que desprestigia Andalucía. Me pinchan y no sangro.</t>
  </si>
  <si>
    <t>Barcelona, Spain</t>
  </si>
  <si>
    <t>Politóloga y futura jurista. Catalana y del Real Madrid.</t>
  </si>
  <si>
    <t>El cinismo de Pablo Casado hablando del Poder Judicial no conoce límites.</t>
  </si>
  <si>
    <t>Engendrado en el fuerte de Playmobil. Mi primer beso fue contra el espejo. Fui en chándal a la Universidad. No conozco el pleno empleo. Proyecto de tantas cosas</t>
  </si>
  <si>
    <t>http://jukeboxpretencioso.wordpress.com</t>
  </si>
  <si>
    <t>Maritana</t>
  </si>
  <si>
    <t>#AR21N Madre mía que asco me da ver a un hombre como Pablo Casado que no ha cogido un libro en su vida sentado en el congreso dispuesto para gobernar un país</t>
  </si>
  <si>
    <t>DIRECTO | Pedro Sánchez, a Pablo Casado: "No se puede aspirar a gobernar Andalucía despreciando Andalucía"</t>
  </si>
  <si>
    <t>https://www.eldiario.es/directo/congreso</t>
  </si>
  <si>
    <t>https://pbs.twimg.com/media/DsgwdNvWsAAcJd0.jpg</t>
  </si>
  <si>
    <t>Eva Orúe</t>
  </si>
  <si>
    <t>#ElChisteDelDía Pablo Casado: "Nosotros no vamos a contribuir al desprestigio judicial".</t>
  </si>
  <si>
    <t>Codirijo @ingenioccd. Fui corresponsal (Londres, París, Moscú).</t>
  </si>
  <si>
    <t>María Hernández [ˌeme'aʧe]</t>
  </si>
  <si>
    <t>Pablo Casado se acaba de llevar una hostia sin manos que me ha puesto cachonda. Y son las nueve. #BravoPedro</t>
  </si>
  <si>
    <t>Entre Lyon y mi pueblo</t>
  </si>
  <si>
    <t>Traductora audiovisual y literaria. Valenciana de horchata y paella dentro de mi mancheguismo porque yo nací en el Mediterráneo. Un Martini, por favor.</t>
  </si>
  <si>
    <t>Gabriela Bustelo</t>
  </si>
  <si>
    <t>No olvidemos que este juez #Marchena al que todos aclamamos como el único juez independiente de España y como el gran héroe nacional fue quien archivó el 'Caso Máster' de Pablo Casado. Lo digo porque España es muy dada a los fervores masivos y a las amnesias colectivas.</t>
  </si>
  <si>
    <t>Escritora. Periodista ex @larazon_es @gaceta_es @voz_populi @cuartopoder @TheObjective_es @M21Madrid /'La Vicepresidenta' (Esfera, 2017) / Escribiendo 4ª novela</t>
  </si>
  <si>
    <t>Pablo Casado ha cancelado el grupo de WhatsApp de Cosidó. No, si en el PP el que la hace la paga, claro que sí, Guapi.</t>
  </si>
  <si>
    <t>¡Toma la calle!</t>
  </si>
  <si>
    <t>Ignacio Aguado se marca un Pablo Casado y tampoco puede definir a Vox ideológicamente.  via @Jota_POV</t>
  </si>
  <si>
    <t>https://jotapov.com/2018/11/20/ignacio-aguado-se-marca-un-pablo-casado-y-tampoco-puede-definir-a-vox-ideologicamente/</t>
  </si>
  <si>
    <t>Belgium, republic of Spain</t>
  </si>
  <si>
    <t>Hijo de emigrantes andaluces en Bélgica #UnidasPodemos #AdelanteAndalucia</t>
  </si>
  <si>
    <t>Hay que reconocer que Pablo Casado toma medidas contundentes para atajar los despropósitos. RT @EFEnoticias: El PP disuelve el chat de Whatsapp al que Cosidó envió su polémico mensaje</t>
  </si>
  <si>
    <t>El Racó de pensar de Sant Esteve de les Roures</t>
  </si>
  <si>
    <t>Copiando y pegando Pablo Casado aspira a presidente con un máster robado. RT @boye_g: Vaya chapuza que habéis presentado... el copia y pega te ha vuelto a jugar una mala pasada</t>
  </si>
  <si>
    <t>https://twitter.com/boye_g/status/1065014454319005696
https://twitter.com/pablocasado_/status/1064961885383114754</t>
  </si>
  <si>
    <t>EH Bildu Gasteiz</t>
  </si>
  <si>
    <t>"Nos ha asustado lo que hemos leido del candidato del PP afín a Pablo Casado. El PP no suma, lleva a una ciudad dividida, que no avanza", explica @mirenlarrion en @ondavasca</t>
  </si>
  <si>
    <t>https://pbs.twimg.com/media/DsgrVNGXgAAzkjZ.jpg</t>
  </si>
  <si>
    <t>EH Bildu Gasteiz euskaldun, feminista, duina, hezitzailea, zaintzailea, anitza, berdea, bizia, erabakitzailea, bakegilea eta ezkertiarren alde borrokatzen</t>
  </si>
  <si>
    <t>http://gasteiz.ehbildu.net/</t>
  </si>
  <si>
    <t>Carlos Cam</t>
  </si>
  <si>
    <t>🤯 Pablo Casado propone a Fátima Báñez, exministra de Empleo y Seguridad Social, para presidir la Comisión.... de Asuntos Exteriores  (via @LaVanguardia)</t>
  </si>
  <si>
    <t>https://www.lavanguardia.com/vida/20181120/453068976363/casado-propone-a-fatima-banez-para-presidir-la-comision-de-exteriores-del-congreso-en-sustitucion-de-cospedal.html</t>
  </si>
  <si>
    <t>🇪🇺 @FGGALeiden alumnus, co-founder of @CCEuropa. 🏛 Now EU &amp; foreign policy at @Congreso_ES. Change politics, not the climate. Views are (often) my own.</t>
  </si>
  <si>
    <t>http://www.linkedin.com/in/ccampillosmartinez</t>
  </si>
  <si>
    <t>R.D.</t>
  </si>
  <si>
    <t>La estrategia de Pablo Casado va a perpetuar a Lesmes al frente del Tribunal Supremo. Para que luego digáis que la Justicia española ha tocado fondo.</t>
  </si>
  <si>
    <t>RedJurídica Abogad@s</t>
  </si>
  <si>
    <t>Pablo Casado propone una reforma de la Ley Orgánica del Poder Judicial haciendo un corta y pega sin eliminar las obsoletas referencias a los jueces de partido y de distrito o a las Audiencias Territoriales RT @pablocasado_: Acabamos de presentar en el Senado esta enmienda a la reforma de la Ley Orgánica del Poder Judicial, para volver al sistema de elección del Consejo General del Poder Judicial que consagra la Constitución y fortalecer la independencia judicial y la separación de poderes en España.</t>
  </si>
  <si>
    <t>C/ Alberto Aguilera 7 - 3D</t>
  </si>
  <si>
    <t>Cooperativa Jurídica para la Transformación Social. LA ABOGACÍA NECESARIA.</t>
  </si>
  <si>
    <t>http://red-juridica.com/</t>
  </si>
  <si>
    <t>Antonio Ramírez de Arellano</t>
  </si>
  <si>
    <t>Bajar los impuestos no aumenta los ingresos públicos. Estos son los hechos. ‘Casado y la economía vudú’ | El Blog de José Carlos Díez</t>
  </si>
  <si>
    <t>Consejero de Economía, Hacienda y Administración Pública de la Junta de Andalucía</t>
  </si>
  <si>
    <t>mrexplorador</t>
  </si>
  <si>
    <t>maider ☄️</t>
  </si>
  <si>
    <t>pablo casado cuando sale algún caso de corrupción en otro partido que no sea el pp: QUE DIMITAN!! pablo casado cuando sale un caso de corrupción en el pp:</t>
  </si>
  <si>
    <t>https://pbs.twimg.com/media/DsgkEb6W0AAiF3C.jpg</t>
  </si>
  <si>
    <t>terrace house opening mi casa</t>
  </si>
  <si>
    <t>esto parece una stan account de cody fern pero no lo es (igual sí)</t>
  </si>
  <si>
    <t>https://www.instagram.com/ageofmai/</t>
  </si>
  <si>
    <t>wizfun</t>
  </si>
  <si>
    <t>Pablo Casado tropieza en la tercera 'piedra' de su corto mandato  vía @flipboard</t>
  </si>
  <si>
    <t>http://flip.it/mt24Zn</t>
  </si>
  <si>
    <t>Bon vivant de la escuela balsámica.Sin colorantes ni conservantes.Sin azúcares añadidos.Simple y ligero https://flipboard.com/@wizfun/el-punto-link-0vl4n0l4y</t>
  </si>
  <si>
    <t>http://paper.li/wizfun/1315752719#</t>
  </si>
  <si>
    <t>Pablo Casado tropieza en la tercera 'piedra' de su corto mandato  Por @Gabrielsanz64</t>
  </si>
  <si>
    <t>https://buff.ly/2TpnmjD</t>
  </si>
  <si>
    <t>silvichan</t>
  </si>
  <si>
    <t>Realmente Pablo Casado se ha jactado por un grupo de WhatsApp de que su partido puede controlar a los jueces, mira yo ya ni sé</t>
  </si>
  <si>
    <t>Cigales, Valladolid</t>
  </si>
  <si>
    <t>mira que bien me lo paso wuuuu</t>
  </si>
  <si>
    <t>Mark Twain</t>
  </si>
  <si>
    <t>- Lo de este individuo , Mr. Casado es increible. Vaya unos mitines que da por Andalucia. Supongo que los andaluces estarán más interesados en el supuesto papel civilizador de Espanya. Y no tanto en soluciones para el paro, las pensiones o salarios</t>
  </si>
  <si>
    <t>https://www.eldiario.es/politica/Pablo-Casado-puede-decir-descubierto_0_824867649.html</t>
  </si>
  <si>
    <t>Gonzalo</t>
  </si>
  <si>
    <t>Los Calvitos de Pat</t>
  </si>
  <si>
    <t>Pablo Casado, el gracioso Viñeta publicada en</t>
  </si>
  <si>
    <t>https://pbs.twimg.com/media/DsgeWaOXQAAeuoh.jpg</t>
  </si>
  <si>
    <t>Fernando Jiménez ¡¡Español!!</t>
  </si>
  <si>
    <t>José Antonio Zarzalejos modulaba un tuit inobjetable: "Lo que procede es que Pablo Casado pida la dimisión de Cosidó y declare perdida su confianza en Catalá por una cuestión de dignidad". El doctor...</t>
  </si>
  <si>
    <t>https://www.elmundo.es/opinion/2018/11/21/5bf450a8e5fdea58018b4647.html</t>
  </si>
  <si>
    <t>http://www.facebook.com/fernando.jimenez.12720</t>
  </si>
  <si>
    <t>Jac Obo</t>
  </si>
  <si>
    <t>Cuidadano del mundo.Realista con el Presente,Optimista con el Futuro. Politica y cultura.</t>
  </si>
  <si>
    <t>Joan Manuel Cabezas</t>
  </si>
  <si>
    <t>Pedro Sánchez y Pablo Casado trabajarán como jueces por las tardes mientras no se escoja a un nuevo presidente del Poder Judicial  vía @elmundotoday</t>
  </si>
  <si>
    <t>Oviedo</t>
  </si>
  <si>
    <t>joanmanuel.cabezas@gmail.com</t>
  </si>
  <si>
    <t>Doctor en Antropologia Social - Llicenciat en Geografia i Història - https://www.academia.edu/34647817/Joan_Manuel_Cabezas_Lopez.-_Curriculum_detallat</t>
  </si>
  <si>
    <t>http://www.etnosistema.com/</t>
  </si>
  <si>
    <t>CHUCHO+</t>
  </si>
  <si>
    <t>El presidente del Gobierno, Pedro Sánchez, y el líder del PP, Pablo Casado, se verán hoy las caras por primera vez en la sesión de control en el C...</t>
  </si>
  <si>
    <t>https://libertadfm.es/2018/11/21/duelo-de-sanchez-y-casado-hoy-en-el-congreso-tras-romper-el-pacto-del-cgpj/</t>
  </si>
  <si>
    <t>Mathu_salen</t>
  </si>
  <si>
    <t>Jubilado en activo.</t>
  </si>
  <si>
    <t>Pablo Casado Blanco on Twitter RT @pablocasado_: Hoy he explicado las razones para romper el acuerdo de renovación del Consejo General del Poder Judicial por la irresponsabilidad del Gobierno, y nuestra propuesta para que los jueces elijan a la mayoría de los vocales, tal y como se hacía antes de la reforma del PSOE en 1985.</t>
  </si>
  <si>
    <t>https://twitter.com/pablocasado_/status/1064984130562244608?s=19</t>
  </si>
  <si>
    <t>MųÑěCő đę ţRåPø</t>
  </si>
  <si>
    <t>Este tuit y esa propuesta descartan a Pablo Casado como candidato a la Presidencia del Gobierno. Y a la dirección de cualquier organización seria. Qué pena. De verdad. RT @pablocasado_: Acabamos de presentar en el Senado esta enmienda a la reforma de la Ley Orgánica del Poder Judicial, para volver al sistema de elección del Consejo General del Poder Judicial que consagra la Constitución y fortalecer la independencia judicial y la separación de poderes en España.</t>
  </si>
  <si>
    <t>Tabarnia</t>
  </si>
  <si>
    <t>En camino.</t>
  </si>
  <si>
    <t>Apoyo a la democracia liberal por los resultados comparados de experiencias previas, no por q me la crea.</t>
  </si>
  <si>
    <t>Pablo Casado, ha alertado contra aquellos que intentan imitar el terrorismo abertzale con una suerte de kale borroka en Cataluña, en la que se señala con lazos amarillos a políticos, periodistas y empresarios para que no sigan defendiendo la libertad</t>
  </si>
  <si>
    <t>http://ow.ly/nshC30mGX7h</t>
  </si>
  <si>
    <t>https://pbs.twimg.com/media/DsgKQnbXoAAlOeb.jpg</t>
  </si>
  <si>
    <t>Pablo Casado, el hombre que cobra 1.842 euros en dietas por ser diputado por Ávila pero que vive y vota en Madrid.</t>
  </si>
  <si>
    <t>Jhabi</t>
  </si>
  <si>
    <t>Pablo Casado quiere hacer una ley de “símbolos”. Quizá lo que quiera es defender sus símbolos, porque les molesta mucho un lazo amarillo pero no una manifestación fascista.</t>
  </si>
  <si>
    <t>ubicuo</t>
  </si>
  <si>
    <t>Creo en la sociedad y en la soberanía popular, no en la falsa democracia que se nos ha vendido. Escribo a lo loco.</t>
  </si>
  <si>
    <t>http://www.xn--democraciajajaj-1jb.es</t>
  </si>
  <si>
    <t>Colombia sin Comunismo</t>
  </si>
  <si>
    <t>Pablo Casado abre las puertas a ilegalizar “algunos credos inasumibles que acaban en una...</t>
  </si>
  <si>
    <t>Adri</t>
  </si>
  <si>
    <t>http://dlvr.it/Qrkb9S</t>
  </si>
  <si>
    <t>https://pbs.twimg.com/media/DsfgJTNV4AAcfax.jpg</t>
  </si>
  <si>
    <t>Alejandome del Comunismo</t>
  </si>
  <si>
    <t>Noticias de Colombia y España. Centro Democratico y Uribista. Libertario que rechaza tiranias, abusadores de poder y Nuevo Orden Mundial.</t>
  </si>
  <si>
    <t>República Catalana</t>
  </si>
  <si>
    <t>https://www.youtube.com/watch?v=IZfcG0rPxrs</t>
  </si>
  <si>
    <t>Català Digital</t>
  </si>
  <si>
    <t>República Catalunya</t>
  </si>
  <si>
    <t>DIARI DIGITAL EN CATALÀ. ÚLTIMA HORA, NOTÍCIES I OPINIÓ</t>
  </si>
  <si>
    <t>http://cataladigital.cat</t>
  </si>
  <si>
    <t>Barcelona today</t>
  </si>
  <si>
    <t>El líder del Partido Popular, Pablo Casado, ha aprovechado una reforma en el Senado para proponer que 12 de los 20 vocales del CGPJ sean elegidos por jueces....</t>
  </si>
  <si>
    <t>https://www.antena3.com/noticias/espana/enmienda-vocales-cgpj-pacto-psoe-video_201811205bf485570cf2c5d615622f14.html</t>
  </si>
  <si>
    <t>Me extraña siendo Pablo Casado el Licenciado en Derecho más brillante de los últimos 250 años... RT @Tsevanrabtan: Esto es acojonante. Han fusilado la Ley Orgánica del Consejo del Poder Judicial de 1980 sin corregir las referencias anacrónicas a Audiencias Territoriales y Jueces de Distrito.</t>
  </si>
  <si>
    <t>https://twitter.com/Tsevanrabtan/status/1065004523037630465
https://twitter.com/pablocasado_/status/1064961885383114754?s=20</t>
  </si>
  <si>
    <t>Miriam Ruiz Castro</t>
  </si>
  <si>
    <t>Pablo Casado lleva la campaña andaluza a la sesión de control al Gobierno en el Congreso</t>
  </si>
  <si>
    <t>https://pbs.twimg.com/media/Dse8eM2W0AIeR1j.jpg</t>
  </si>
  <si>
    <t>Periodista. En @ObjetivoLaSexta (@newtral). También junto letras en @elperiodico. Contar para hacer que cuente. 📧Miriamruiz33@gmail.com</t>
  </si>
  <si>
    <t>https://es.linkedin.com/in/mruizcastro</t>
  </si>
  <si>
    <t>Miserable fascista. ( Pablo Casado, el hombre que cobra 1.842 euros en dietas por ser diputado por Ávila pero que vive y vota en Madrid.)</t>
  </si>
  <si>
    <t>Podrido Popular</t>
  </si>
  <si>
    <t>ÚLTIMA HORA Pablo Casado consigue un postgrado de Comunity Manager. RT @donarfonzo: Pablo Casado ha disuelto el chat de la polémica y pide la dimisión del presidente de WhatsApp.</t>
  </si>
  <si>
    <t>https://twitter.com/donarfonzo/status/1065019787640799234
https://twitter.com/EFEnoticias/status/1064934329271373827</t>
  </si>
  <si>
    <t>Caye Genoba Trece</t>
  </si>
  <si>
    <t>Parodia.</t>
  </si>
  <si>
    <t>http://www.facebook.es/podridopopular</t>
  </si>
  <si>
    <t>Denunciado el Fiscal que pidió el archivo del caso Máster de Pablo Casado  vía @diario_16</t>
  </si>
  <si>
    <t>Fanalet de Fernando</t>
  </si>
  <si>
    <t>Terrassa, Catalunya</t>
  </si>
  <si>
    <t>El meu fanalet m’il·lumina per veure uns fets, informar-me i formar-me una opinió, que es transforma, es divulga, es distorsiona, es twtteja i s’oblida.</t>
  </si>
  <si>
    <t>Álvaro Becerra 🇪🇸</t>
  </si>
  <si>
    <t>Don Arfonzo</t>
  </si>
  <si>
    <t>Pablo Casado ha disuelto el chat de la polémica y pide la dimisión del presidente de WhatsApp. RT @EFEnoticias: El PP disuelve el chat de Whatsapp al que Cosidó envió su polémico mensaje</t>
  </si>
  <si>
    <t xml:space="preserve">Sevilla - España </t>
  </si>
  <si>
    <t>Liberal, Patriota. Comunicación 2.0 en @PPopular. 💻 Secretario General de NNGG de Alcalá de Gra. Secretario de RRSS de NNGG de Andalucía. ¡Bienvenid@!</t>
  </si>
  <si>
    <t>VIVA LA PANA GORDA</t>
  </si>
  <si>
    <t>https://twitter.com/donarfonzo/timelines/732468888500211712</t>
  </si>
  <si>
    <t>Lluïsa Arranz</t>
  </si>
  <si>
    <t>Vilanova i la Geltrú</t>
  </si>
  <si>
    <t>Ingeniería Edificación - Interiorista - Máster Laboratorio Vivienda Sostenible s XXI - Ponente Congreso Viv 2014 - Voluntaria Cooperación y derechos humanos.</t>
  </si>
  <si>
    <t>http://lluisaa10.blogspot.com.es/</t>
  </si>
  <si>
    <t>Oposición venazilana. Los amiguitos de Pablo Casado y Albert Rivera. RT @Re_conecta: @LuisAlfBorbon Aqui la única verdad es que el nieto tiene derecho a extrañar y España a agradecer que el General los haya salvado del comunismo, de lo contrario, hubiera sido otra RDA o Polonia... hoy una vez más estamos en peligro, ojalá no necesitemos otro Franco</t>
  </si>
  <si>
    <t>https://twitter.com/Re_conecta/status/1064861137743855616</t>
  </si>
  <si>
    <t>PECADOSDEMONJA(M.Rajoy)</t>
  </si>
  <si>
    <t>Pablo Casado no quiere #EnterrarElFranquismo Quiere hacerlo mas grande...</t>
  </si>
  <si>
    <t>DESNUDOS,CIEGOS Y ATADOS. ASI NOS QUIEREN. ADMITO SOBRESUELDIS Y MAMANDURRIAS VARIAS .SOY AFILIADO POR ALMERIA,COMO FILOSOFIA VITAL</t>
  </si>
  <si>
    <t>Primero la ley del aborto de los 80, ahora la LOCPJ, Pablo Casado está empeñado en llevar a España a los 80 de nuevo. Que alguien le explique que lo de que los 80 siempre vuelven se refiere a las hombreras, los pantalones de campana y la moda hortera. RT @Tsevanrabtan: Esto es acojonante. Han fusilado la Ley Orgánica del Consejo del Poder Judicial de 1980 sin corregir las referencias anacrónicas a Audiencias Territoriales y Jueces de Distrito.</t>
  </si>
  <si>
    <t>Eco Republicano</t>
  </si>
  <si>
    <t>Anabel Alonso destroza a Pablo Casado en Twitter con una mofa</t>
  </si>
  <si>
    <t>https://www.ecorepublicano.es/2018/11/anabel-alonso-destroza-pablo-casado-en.html?m=1</t>
  </si>
  <si>
    <t>https://pbs.twimg.com/media/Dsexe0rWkAAhe-k.jpg</t>
  </si>
  <si>
    <t>A por la Tercera República</t>
  </si>
  <si>
    <t>https://telegram.me/ecorepublicano</t>
  </si>
  <si>
    <t>Columna</t>
  </si>
  <si>
    <t>FUERA. Cosidó descarta dimitir tras la renuncia de Marchena y se siente respaldado por Pablo Casado  vía @elmundoes</t>
  </si>
  <si>
    <t>Alumna de la vida</t>
  </si>
  <si>
    <t>http://www.bancodeltiempoburgos.es</t>
  </si>
  <si>
    <t>Ger Arribas!</t>
  </si>
  <si>
    <t>La transparencia que prometió Pablo Casado frente a la corrupción de su partido se resume en cerrar los grupos de Whatsapp donde se pone en evidencia que controlan a los jueces. Como pelotas de basket. #equipoFranco</t>
  </si>
  <si>
    <t>https://www.elmundo.es/espana/2018/11/20/5bf4517046163fdb2f8b461b.html</t>
  </si>
  <si>
    <t>Madrid 🇪🇺</t>
  </si>
  <si>
    <t>Más chulo que un ocho. Graduado en Derecho y Filosofía por la Universidad Complutense de Madrid. #Actualidad #Política #Madrid #Europa</t>
  </si>
  <si>
    <t>Octavi Nonell  ||⭐||</t>
  </si>
  <si>
    <t>Cosas del Karma Denunciado el Fiscal que pidió el archivo del caso Máster de Pablo Casado  via @diario_16</t>
  </si>
  <si>
    <t>Mataró</t>
  </si>
  <si>
    <t>Mataroní, independentista de @CridaNacional Implicat en fer de @MataroCapital i de Catalunya Estat. 'Carpe Diem'-'Donec Perficiam' http://instagram.com/octavi_nonell</t>
  </si>
  <si>
    <t>http://matarocapital.cat</t>
  </si>
  <si>
    <t>¿ESTA ES LA REGENERACION DEMOCRATICA DEL PP DEL DELFIN DE AZNAR PABLO CASADO? - La dirección del PP abre la puerta de salida a Cosidó y Casado lo desautoriza  vía @eldiarioes</t>
  </si>
  <si>
    <t>https://www.eldiario.es/_31f01088</t>
  </si>
  <si>
    <t>Jan Moixó🎗</t>
  </si>
  <si>
    <t>Hoy es #20N Pablo Casado, el hombre que cobra 1.842 euros en dietas por ser diputado por Ávila pero que vive y vota en Madrid</t>
  </si>
  <si>
    <t>El Caribe, provincia de Masnou</t>
  </si>
  <si>
    <t>Me hice pirata porque, con tanto chorizo suelto, era la única opción honrada que me quedaba. Hice mi máster de Pirateria en la URJC.</t>
  </si>
  <si>
    <t>Amusa</t>
  </si>
  <si>
    <t>Que razones puede tener Pablo Casado que no sea más moral que el Alcoyano.</t>
  </si>
  <si>
    <t>"A Pablo Casado le ha explotado una potente bomba en plena campaña de las andaluzas, y ha salido corriendo para Madrid...". Un post por Ángel Tristán</t>
  </si>
  <si>
    <t>https://www.huffingtonpost.es/angel-tristan/el-bofeton-de-marchena-y-la-tonteria-de-cosido_a_23595084/?utm_hp_ref=es-homepage</t>
  </si>
  <si>
    <t>pilar santos</t>
  </si>
  <si>
    <t>Colectivos Sociales,Cultura, Política,Artes,Humanidad,</t>
  </si>
  <si>
    <t>Hay algo que no se puede negar a Pablo Casado: Su cara es más dura que el adamántium. Yo creo que los físicos deberían estudiarla como nuevo elemento de la tabla periódica. RT @pablocasado_: Acabamos de presentar en el Senado esta enmienda a la reforma de la Ley Orgánica del Poder Judicial, para volver al sistema de elección del Consejo General del Poder Judicial que consagra la Constitución y fortalecer la independencia judicial y la separación de poderes en España.</t>
  </si>
  <si>
    <t>Abogado. Atlético. Wargamer. Rolero. Lector. Guerrero del Twitter. http://Gab.ai: @fray_fanatic Stans Inter Ruinas.</t>
  </si>
  <si>
    <t>Ignacio Aguado se marca un Pablo Casado y tampoco puede definir a Vox ideológicamente.</t>
  </si>
  <si>
    <t>https://pbs.twimg.com/media/DselwRmUcAAltbg.jpg</t>
  </si>
  <si>
    <t>Pabloork🔻 ❤️💛💜</t>
  </si>
  <si>
    <t>Y el premio al político más hipócrita y mentiroso es paraaaaaaaa ¡Pablo Casado! ¡Por qué les pillen con el wasap y la culpa sea del gobierno! RT @pablocasado_: Hoy he explicado las razones para romper el acuerdo de renovación del Consejo General del Poder Judicial por la irresponsabilidad del Gobierno, y nuestra propuesta para que los jueces elijan a la mayoría de los vocales, tal y como se hacía antes de la reforma del PSOE en 1985.</t>
  </si>
  <si>
    <t>Bajo la Montaña de Crom</t>
  </si>
  <si>
    <t>Jevi, Feminista y antifascista. 🤘✊</t>
  </si>
  <si>
    <t>M. Rajoy</t>
  </si>
  <si>
    <t>Para #EquipoFranco el que forman Pablo Casado, Albert Rivera y Santiago Abascal. #EnterrarElFranquismo</t>
  </si>
  <si>
    <t>Yo he venido aquí a reírme, si no lo entiendes es tu problema, pero a mí no me des la turra. 😊</t>
  </si>
  <si>
    <t>Enzo Ferlauto</t>
  </si>
  <si>
    <t>Buenos Aires</t>
  </si>
  <si>
    <t>Para este ciego toda visión es metáfora. Muerdo con la lengua. Radio, Música, Catalán, Portugués, les amo! Exagero hasta cuando soy moderado. #LoCreoYNoLoVeo.</t>
  </si>
  <si>
    <t>http://estoyenlacancion.wordpress.com</t>
  </si>
  <si>
    <t>Petronilosmith</t>
  </si>
  <si>
    <t>Á Pablo Casado se le ha visto el plumero y sus trapicheos con el PSOE respecto a los nombramientos de jueces en el CGPJ.</t>
  </si>
  <si>
    <t xml:space="preserve">España  </t>
  </si>
  <si>
    <t>THE END. FUERA LAS AUTONOSUYAS. El auténtico cáncer de España, negocio de una chusma política sin valores, sin principios,sin cultura y sin soluciones.</t>
  </si>
  <si>
    <t>Otro con el mismo discurso,no cambian ,, ,,@Ignacos Cosidó: “Me siento plenamente respaldado por @pablocasado_ ” ¿ no sera que le tapas algo ,que este lleva muchos años en el PP ?  @Europarl_ES @EU_Commission @CasaReal @CiudadanosCs @PSOE @PPopular</t>
  </si>
  <si>
    <t>@ppfines</t>
  </si>
  <si>
    <t>Pablo Casado preside la reunión plenaria del Grupo Parlamentario Popular</t>
  </si>
  <si>
    <t>https://youtu.be/QROdJCONfvc</t>
  </si>
  <si>
    <t>Mas que "gracioso " que tiene poco con ese cerebro medieval " es el "acelerado " @pablocasado_  … @Europarl_ES @EU_Commission @CasaReal @CiudadanosCs @PSOE @PPopular</t>
  </si>
  <si>
    <t>Vox_Cantabria</t>
  </si>
  <si>
    <t>LA MORALEJA: -SÓLO VOX ES ÚTIL Y DE CONFIANZA- "EL PP TRAICIONA ESPAÑA, PERO LO SABEMOS PORQUE LOS DEL PP QUE RECIBIERON EL WASSAP, LO HAN DIFUNDIDO" La Ejecutiva del PP de Pablo Casado VENDIÓ al Gobierno...</t>
  </si>
  <si>
    <t>https://www.facebook.com/1123011491044860/posts/2246818535330811/</t>
  </si>
  <si>
    <t>Cantabria, España</t>
  </si>
  <si>
    <t>Cuenta Oficial de #Vox en Cantabria. Partido creado para la renovación política. ✉️ info@cantabria.voxespana.es ☎️ 615 93 42 75</t>
  </si>
  <si>
    <t>https://www.voxespana.es</t>
  </si>
  <si>
    <t>Agustin Moreno</t>
  </si>
  <si>
    <t>Qué bien @IsaiasLafuente en #elintermedio hablando el 20-N sobre cómo #EnterrarElFranquismo Lo más preocupante es la posición de la derecha: es inmoral que Pablo Casado diga que es de carcas querer desenterrar a las víctimas de Franco de las cunetas</t>
  </si>
  <si>
    <t>Profesor de historia en un instituto de Vallecas hasta hace nada, y activista veterano por los derechos sociales y democráticos</t>
  </si>
  <si>
    <t>Es indigno q Pablo Casado diga q los familiares que quieren que se saque a su abuelo de las cunetas es de carcas. Indignidad</t>
  </si>
  <si>
    <t>roberto</t>
  </si>
  <si>
    <t>Me ha gustado un vídeo de @YouTube ( - Desmontando a PABLO CASADO en 6 sencillos PASOS.).</t>
  </si>
  <si>
    <t>http://youtu.be/WbcOau_ZpBA?a</t>
  </si>
  <si>
    <t>Pablo Casado, Albert Rivera y Santi Abascal herederos y por tanto adoradores dl franquismo, siguen siendo un claro ejemplo de q el franquismo sigue vivo Por tanto: #EnterrarElFranquismo es imprescindible #DestruirElValle es imprescindible #IlegalizarElFranquismo es imprescindible</t>
  </si>
  <si>
    <t>Véctor</t>
  </si>
  <si>
    <t>Pablo casado,con un master de Derecho Autonómico y Local, hijo de Arathorn,heredero de Ísildur, señor de los dúnedain y heredero al trono de góndor.</t>
  </si>
  <si>
    <t>Raftel</t>
  </si>
  <si>
    <t>19 años Málaga lml. Música:Metallica, Red Hot Chili Peppers, Gorillaz Ánime:One piece, Jojo's bizarre adventure, Toriko Videjuegos:Pokemon, Kingdom hearts, Lol</t>
  </si>
  <si>
    <t>http://www.thiscrush.com/~vectormgmg</t>
  </si>
  <si>
    <t>Dosis de Humor</t>
  </si>
  <si>
    <t>https://buff.ly/2PD85xk</t>
  </si>
  <si>
    <t>El humor no tiene fronteras</t>
  </si>
  <si>
    <t>Tu dosis de humor en Twitter: chistes, viñetas, noticias divertidas, memes, fotos ¡todo para pasar un buen rato también en internet!</t>
  </si>
  <si>
    <t>⛄ Benito Camela ⛄</t>
  </si>
  <si>
    <t>Conchi es a mi lo que Pablo Casado es a José María Aznar.</t>
  </si>
  <si>
    <t>who cares</t>
  </si>
  <si>
    <t>A ver, algo demagogo si que soy. MAGA (Make American Go Away) @candado_regular http://curiouscat.me/LeMaurio</t>
  </si>
  <si>
    <t>https://www.instagram.com/corpore.regulinchis/</t>
  </si>
  <si>
    <t>El Intermedio</t>
  </si>
  <si>
    <t>🔴 @DaniMateoAgain: "La verdadera campaña en Andalucía la está llevando a cabo Pablo Casado'  #elintermedio</t>
  </si>
  <si>
    <t>http://atres.red/jokrq</t>
  </si>
  <si>
    <t>https://pbs.twimg.com/media/DseWvAFU8AAun63.jpg</t>
  </si>
  <si>
    <t>Ya conocen las noticias, ahora les contaremos la verdad... De L-J a las 21:30h, en @laSextaTV. Wyoming @sandrasabates11 Thais Villas @a_lo_gonzo @DaniMateoAgain</t>
  </si>
  <si>
    <t>http://www.lasexta.com/elintermedio</t>
  </si>
  <si>
    <t>Feder Quintana Glez</t>
  </si>
  <si>
    <t>Casado exige a Sánchez que deje ya "las estrategias partidistas" y convoque elecciones</t>
  </si>
  <si>
    <t>https://okdiario.com/espana/2018/11/20/pablo-casado-pedro-sanchez-elecciones-3372417#.W_RzmK4e8CY.twitter</t>
  </si>
  <si>
    <t>Gran Ca</t>
  </si>
  <si>
    <t>POR ESPAÑA ENTERA...</t>
  </si>
  <si>
    <t>Pepa</t>
  </si>
  <si>
    <t>Casado almorzó con Villarejo y 12 empresarios en 2015,antes de unos comicios. . #ElPSOEDaSeguridad</t>
  </si>
  <si>
    <t>https://diario6.com/pablo-casado-al-igual-que-cospedal-tambien-se-reunio-con-villarejo/</t>
  </si>
  <si>
    <t>Casado: “Nosotros no colonizábamos, lo que hacíamos era tener una España más grande” @lavanguardia</t>
  </si>
  <si>
    <t>http://shr.gs/OTOq8Nk</t>
  </si>
  <si>
    <t>🔴 El Gran Wyoming: "Cualquier día Pablo Casado se cambia el nombre a: Pablo Che Casado"  #elintermedio</t>
  </si>
  <si>
    <t>https://pbs.twimg.com/media/DseUM-7U0AAnzNE.jpg</t>
  </si>
  <si>
    <t>jose carlos curto</t>
  </si>
  <si>
    <t>Almonte</t>
  </si>
  <si>
    <t>Pasion por el Toro!!! El lunes de pentecostes. PP Almonte, PP Huelva. Gestor de Negocios Activo Inmobiliario en CaixaBank</t>
  </si>
  <si>
    <t>http://www.holatravelalmonte.es</t>
  </si>
  <si>
    <t>Mari Carmen</t>
  </si>
  <si>
    <t>Pablo Casado, en un acto del PP en Córdoba: «La Catedral tiene que seguir administrada por la Iglesia»</t>
  </si>
  <si>
    <t>https://laicismo.org/pablo-casado-en-un-acto-del-pp-en-cordoba-la-catedral-tiene-que-seguir-administrada-por-la-iglesia/</t>
  </si>
  <si>
    <t>Mariano M.D.</t>
  </si>
  <si>
    <t>El Palo, Málaga</t>
  </si>
  <si>
    <t>R. Gaab 🇪🇺</t>
  </si>
  <si>
    <t>#STOPIndultos: Pedro Sánchez y Pablo Casado deberían estar en la cárcel con Junqueras. Sinvergüenzas.</t>
  </si>
  <si>
    <t xml:space="preserve">Puente Tocinos </t>
  </si>
  <si>
    <t>No le temo al enemigo que me ataca, si no al falso amigo que me abraza.</t>
  </si>
  <si>
    <t>I speak in favor of free speech and civil rights. I dislike nationalism, xenophobia and racism. Irony. Punk writer.</t>
  </si>
  <si>
    <t>http://gaab75.blogspot.com</t>
  </si>
  <si>
    <t>IreneMari MazoJEJÉ</t>
  </si>
  <si>
    <t>Algunos si somos unos pringados. La biblioteca del Campus de Móstoles nos recuerda que Pablo Casado no lo fué #urjc #Mostoles @PPopular @InformerdeUrjc</t>
  </si>
  <si>
    <t>https://pbs.twimg.com/media/DsePefBXoAEKRQ2.jpg</t>
  </si>
  <si>
    <t>Alegre y Olé</t>
  </si>
  <si>
    <t>Tribuna de Burgos</t>
  </si>
  <si>
    <t>NACIONAL | Un Cosidó cuestionado por "manejar desde atrás" el Supremo le abre otra crisis a Pablo Casado</t>
  </si>
  <si>
    <t>https://buff.ly/2TssKlQ</t>
  </si>
  <si>
    <t>https://pbs.twimg.com/media/DseO4axWoAAnjcQ.jpg</t>
  </si>
  <si>
    <t>Diario Digital. Toda la información de Burgos, actualizada al minuto.</t>
  </si>
  <si>
    <t>http://www.tribunaburgos.com</t>
  </si>
  <si>
    <t>ၾS   ၾL   ၾE   ၾV  ၾ I   ၾN   🇨🇭🇨🇭</t>
  </si>
  <si>
    <t>#STOPIndultos Ahora que no está Marchena y no controlamos los juzgados, me enfado y no respiro... By: Pablo Casado.</t>
  </si>
  <si>
    <t>https://pbs.twimg.com/media/DseOcIlWkAAc8V9.jpg</t>
  </si>
  <si>
    <t xml:space="preserve"> Galiza </t>
  </si>
  <si>
    <t>​Retranca como arma arrojadiza. No acepto discípulos, solo imitadores.</t>
  </si>
  <si>
    <t>Pablo Casado al igual que Cospedal también se reunió con Villarejo</t>
  </si>
  <si>
    <t>Ponfe</t>
  </si>
  <si>
    <t>Es difícil entender q Ignacio Cosidó siga como portavoz del grupo Popular en el Senado. Es difícil entender q Pablo Casado cometa los mismos errores de siempre.</t>
  </si>
  <si>
    <t>El futuro ya está aquí, aunque aún no ha sido distribuido</t>
  </si>
  <si>
    <t>Marcos Pinheiro</t>
  </si>
  <si>
    <t>Pablo Casado quiere ahora cambiar el sistema de elección del CGPJ. El que acordó hace una semana con el PSOE ahora le parece que no garantiza la separación de poderes</t>
  </si>
  <si>
    <t>https://www.eldiario.es/politica/PP-retira-candidatos-CGPJ-Congreso_0_837817276.html</t>
  </si>
  <si>
    <t>Periodista en @eldiarioes. Antes Agencia EFE y Cadena SER. Contacto: mpinheiro@eldiario.es</t>
  </si>
  <si>
    <t>Mayte Díaz Hernández</t>
  </si>
  <si>
    <t>Carlos</t>
  </si>
  <si>
    <t>🛑EL PRESIDENTE DEL PARTIDO POPULAR PABLO CASADO SE COMPROMETE CON STOP SUCESIONES A SUPRIMIR EL IMPUESTO A LAS HERENCIAS EN TODA ESPAÑA</t>
  </si>
  <si>
    <t>Placentina,amante de mi tierra...Enamorada de #Extremadura.Concejala de Familia,Accesibilidad,Dependencia e Igualdad del Exmo Ayto de #Plasencia.</t>
  </si>
  <si>
    <t>talkesi</t>
  </si>
  <si>
    <t>Cosidó: “Me siento plenamente respaldado por Pablo Casado”  vía @diario_16</t>
  </si>
  <si>
    <t>Para estas fechas...siempre hace un tiempo u otro</t>
  </si>
  <si>
    <t>saenz de varona</t>
  </si>
  <si>
    <t>Pablo Casado preside la reunión plenaria del Grupo Parlamentario Popular  vía @YouTube</t>
  </si>
  <si>
    <t>Sotogrande ( Cádiz ) España</t>
  </si>
  <si>
    <t>Dr. en Derecho. Lcdo. Empresariales ICADE. MBA Berkeley University. Exprofesor Universidad de Sevilla y de la UNED. Del Instituto Estudios Campogibraltareños</t>
  </si>
  <si>
    <t>http://www.saenzsotogrande.blogspot.com</t>
  </si>
  <si>
    <t>DIARIO 6</t>
  </si>
  <si>
    <t>⬛ (CASTELLANO) Noticias, actualidad, política ⬜ (GALEGO) Novas, actualidade, política http://facebook.com/diario6com/</t>
  </si>
  <si>
    <t>http://diario6.com</t>
  </si>
  <si>
    <t>Javier San Sebastián</t>
  </si>
  <si>
    <t>Javier Aroca Alonso</t>
  </si>
  <si>
    <t>Me tragué tor #DebateCanalSur y al final, no salió ni Albert Rivera ni Pablo Casado. Decepción</t>
  </si>
  <si>
    <t>Sevilla/Andalusía/La Tierra</t>
  </si>
  <si>
    <t>Médico y humanista.Lector,escritor,melómano y amante de la historia.Orgulloso de muchos episodios del pasado de España y muy avergonzado de nuestro presente</t>
  </si>
  <si>
    <t>Pasé Derecho,Antropología y Árabe. Republicano y federalista. Opino en @Hora25 , @CanalSur radio y tv y @DebatAlRojoVivo. Escribo en @eldiarioes y @elperiodico</t>
  </si>
  <si>
    <t>http://Instagram.com/jsansebastianc/</t>
  </si>
  <si>
    <t>Pablo Casado Blanco on Twitter RT @pablocasado_: Acabamos de presentar en el Senado esta enmienda a la reforma de la Ley Orgánica del Poder Judicial, para volver al sistema de elección del Consejo General del Poder Judicial que consagra la Constitución y fortalecer la independencia judicial y la separación de poderes en España.</t>
  </si>
  <si>
    <t>Cosidó descarta dimitir tras la renuncia de Marchena y se siente respaldado por Pablo Casado  esto es la mayor vergüenza del @PPopular en años. Dimisión ya de #CosidoDimision @pablocasado_</t>
  </si>
  <si>
    <t>Ambientólogo, especialista en Sostenibilidad y Cambio Climático. Ciudadano. Tweets sobre política y medio ambiente.</t>
  </si>
  <si>
    <t>José Carlos Jiménez</t>
  </si>
  <si>
    <t>De la misma manera, los que han pretendido pergeñar un reparto de cromos en el poder judicial tendrán que dar explicaciones, incluido por supuesto Pablo Casado, también conocido en los círculos gastronómicos como el comensal de Rajoy.</t>
  </si>
  <si>
    <t>Nacido en 1978 en Barcelona. Licenciado en Economía por la Universitat de Barcelona (UB). Interesado en información económica, financiera, política y social.</t>
  </si>
  <si>
    <t>Javier Sanz</t>
  </si>
  <si>
    <t>Nu-ce-lar, se dice nu-ce-lar</t>
  </si>
  <si>
    <t>María NH</t>
  </si>
  <si>
    <t>Que dice hoy Pablo Casado que cuando gobierne cambiará el modo de elegir al CGPJ 😂😂😂</t>
  </si>
  <si>
    <t>https://www.europapress.es/nacional/noticia-ciudadanos-recuerda-promesa-sanchez-2014-cgpj-verdaderamente-independiente-gobierno-20181112183024.html</t>
  </si>
  <si>
    <t>Técnico en Administración Electrónica . Si unes a 1 fanático con 1.000 ignorantes, tendrás 1.001 fanáticos</t>
  </si>
  <si>
    <t>https://www.youtube.com/attribution_link?a=degRVGxQ0pw&amp;u=%2Fwatch%3Fv%3DQROdJCONfvc%26feature%3Dshare</t>
  </si>
  <si>
    <t>José Emilio Sánchez</t>
  </si>
  <si>
    <t>Sin lugar a dudas el partido con más experiencia en casos de corrupción es el partido de Pablo Casado, tiene la mejor gestión en esos menesteres</t>
  </si>
  <si>
    <t>Arroyomolinos de Utrera España</t>
  </si>
  <si>
    <t>Rafael Ruiz</t>
  </si>
  <si>
    <t>Pablo Casado, en un acto del PP en Córdoba: «La Catedral tiene que seguir administrada por la Iglesia» EL PP SE LA REGALÓ CON LA LEY DE AZNAR.-</t>
  </si>
  <si>
    <t>Ideólogo. La alternancia fecunda el suelo de la democracia.</t>
  </si>
  <si>
    <t>https://twitter.com/pablocasado_/status/1064961885383114754?s=04</t>
  </si>
  <si>
    <t>Tan</t>
  </si>
  <si>
    <t>#DebateAJ El presidente del Partido Popular Español, Pablo Casado y su dirigente juvenil, Diego Gago, han convocado a unir esfuerzos con los partidos de centro derecha ante el populismo en Hispanoamérica, ¿como atenderias esta convocatoria?</t>
  </si>
  <si>
    <t>Astronauta. Tengo dos gatos pero quiero 100. Instagram @tanncolin</t>
  </si>
  <si>
    <t>populares HuetorVega</t>
  </si>
  <si>
    <t>Buenas noches a tod@s. Os informo que este sábado (que no llueve), a las 11H En el paseo del salón donde la fuente de las granadas, tendremos la visita de nuestro Presidente Pablo Casado, Juanma Moreno y el...</t>
  </si>
  <si>
    <t>https://www.facebook.com/745374768843987/posts/2026090044105780/</t>
  </si>
  <si>
    <t>#STOPIndultos ( Parafraseando a : ... ) No quiero ni imaginarme el parraque que le iba a dar a Pablo Casado si se solucionara el tema/problema de Cataluña y tuviera que hacer POLÍTICA ...</t>
  </si>
  <si>
    <t>jlc</t>
  </si>
  <si>
    <t>Luis Herrero @encasadeherrero esta vomitando odio contra Pablo Casado, olvidando que es el PSOE el que le ha engañado y el que mato a Montesquieu</t>
  </si>
  <si>
    <t>JMU</t>
  </si>
  <si>
    <t>Pablo Casado muy mal. Pierde el PP chorros de votos a C’s y a Vox. Hoy día aciago. CosidóGoHome</t>
  </si>
  <si>
    <t>Cartagena. España</t>
  </si>
  <si>
    <t>Médico. PhD. Razonablemente optimista. Oboísta aficionado. Abonado del FC Cartagena. Ars longa vita brevis. Nada humano me es ajeno. Cristiano en proceso ن</t>
  </si>
  <si>
    <t>Bowsska malvado</t>
  </si>
  <si>
    <t>¡A tope con Pablo Casado sería genial, sí.</t>
  </si>
  <si>
    <t>Bot de @Bowsska</t>
  </si>
  <si>
    <t>McEnroe</t>
  </si>
  <si>
    <t>A Pablo Casado le daba un guantazo hasta Franco. "Toma, por subnormal"</t>
  </si>
  <si>
    <t>Kansas</t>
  </si>
  <si>
    <t>No me caso para no tener que meterme la camisa por dentro.</t>
  </si>
  <si>
    <t>https://twitter.com/jon_mcenroe/timelines/540009095320076288</t>
  </si>
  <si>
    <t>Carme G. Castells ☮️</t>
  </si>
  <si>
    <t>😂😂😂😂😂😂 Pedro Sánchez y Pablo Casado trabajarán como jueces por las tardes mientras no se escoja a un nuevo presidente del Poder Judicial  vía @elmundotoday</t>
  </si>
  <si>
    <t>Worldwide</t>
  </si>
  <si>
    <t>I like to be here.</t>
  </si>
  <si>
    <t>Marc Berlín</t>
  </si>
  <si>
    <t>Ojalá ahora Pablo Casado: • “Ese chat del que usted me habla...” •• “Son hechos que se remontan a hace muchos miles de minutos” ••• ”No colonizamos el CGPJ, hicimos más grande a España” •••• “Son unos carcas, siempre se están acordando del cuñado en el chat de alguien” RT @EFEnoticias: El PP disuelve el chat de Whatsapp al que Cosidó envió su polémico mensaje</t>
  </si>
  <si>
    <t>https://twitter.com/efenoticias/status/1064934329271373827</t>
  </si>
  <si>
    <t>”Compartir chistes es, qué te voy a decir yo, la auténtica salud, el bienestar, la alegría” Humor cabrón sí, por favor; que los chistes, chistes son. ELEñlandia</t>
  </si>
  <si>
    <t>juan garcia ramirez</t>
  </si>
  <si>
    <t>Pablo Casado abre las puertas a ilegalizar "algunos credos inasumibles que acaban en una radicalización violenta"</t>
  </si>
  <si>
    <t>http://www.alertadigital.com/2018/11/20/pablo-casado-abre-las-puertas-a-ilegalizar-algunos-credos-inasumibles-que-acaban-en-una-radicalizacion-violenta/#.W_RR5AFF_kM.twitter</t>
  </si>
  <si>
    <t>Con KALERGI EUROPA será EURO.......</t>
  </si>
  <si>
    <t>😡😡😡🤤💤💤💤👹😽🙌🙌🙌☠️☠️☠️</t>
  </si>
  <si>
    <t>Guele</t>
  </si>
  <si>
    <t>Me acabo de dar cuenta de que me estoy intentando marcar un Pablo Casado, aprobar 737273 asignaturas por semestre</t>
  </si>
  <si>
    <t>Who knows</t>
  </si>
  <si>
    <t>Doot. Ingeniería Aeroespacial // Ingeniería Robótica en la US. Y ya estaría</t>
  </si>
  <si>
    <t>MistoLobo</t>
  </si>
  <si>
    <t>Ni mi sobrino de 3 años, cuando me está contando una trola, necesita tantas miradas reafirmantes como Pablo Casado cuando desautoriza a alguien.</t>
  </si>
  <si>
    <t>Feliz en mis desvaríos. Lapidiano.</t>
  </si>
  <si>
    <t>Radio Cartaya</t>
  </si>
  <si>
    <t>Cartaya | Pablo Casado apoya a Juanma Moreno de cara al 2D - El Presidente del Partido Popular Pablo Casado a visitado Cartaya, donde a conocido de primera mano las instalaciones de la Cooperativa Agraria Hortofruticola..........☛  vía @radiocartayaes</t>
  </si>
  <si>
    <t>http://www.radiocartaya.es/2018/11/cartaya-pablo-casado-apoya-a-juanma-moreno-de-cara-al-2d/</t>
  </si>
  <si>
    <t>Cartaya</t>
  </si>
  <si>
    <t>Radio Cartaya 107.2 fm - Emisora Municipal</t>
  </si>
  <si>
    <t>http://www.radiocartaya.es</t>
  </si>
  <si>
    <t>Pablo Casado ya es "P. Casado". Sobre el caso Cosidó-Marchena: "No es una trama del PP; es una trama contra el PP".</t>
  </si>
  <si>
    <t>JOSE ANTONIO Pedro PEREZ CABALLERO</t>
  </si>
  <si>
    <t>Pablo Casado se suma a la idea del adelanto electoral: "El PP está preparado para ganar"</t>
  </si>
  <si>
    <t>https://okdiario.com/general/2018/11/19/casado-suma-idea-del-adelanto-electoral-pp-esta-preparado-ganar-3367348#.W_RT-SBUah9.twitter</t>
  </si>
  <si>
    <t>SPAIN. ESPAÑA</t>
  </si>
  <si>
    <t>Arranz</t>
  </si>
  <si>
    <t>Pablo Casado, se ha esforzado en defender qué su partido es el referente del constitucionalismo en España, el único que ha estado siempre en la defensa de los intereses del país y de su unidad. Ja @pablocasado_ ja ja ja</t>
  </si>
  <si>
    <t>https://pbs.twimg.com/media/Dsd2LRlWsAU5q1i.jpg</t>
  </si>
  <si>
    <t>!Fumate la vida, enrolla los problemas enciende las ideas.Traga la felicidad, aguanta las alegrías, expulsa las tristezas!</t>
  </si>
  <si>
    <t>Playtele España</t>
  </si>
  <si>
    <t>Cosidó asegura que no se ha planteado dimitir y que se siente respaldado por Pablo Casado</t>
  </si>
  <si>
    <t>http://www.youtube.com/watch?v=iywe6ZUTIdE
http://playtele.teleame.com/cosido-asegura-que-no-se-ha-planteado-dimitir-y-que-se-siente-respaldado-por-pablo-casado/</t>
  </si>
  <si>
    <t>En Playtele te ofrecemos los mejores Vídeos de la tele en España. El mejor directorio online. Un sitio @Teleame</t>
  </si>
  <si>
    <t>http://Playtele.teleame.com</t>
  </si>
  <si>
    <t>Nieves</t>
  </si>
  <si>
    <t>Esto tiene que ser una broma, porque... si no es una broma....”lo que haga falta”, dicen😬😬😬😬 mira, esqueesqueesqueeeeeeee🤬🤬🤬</t>
  </si>
  <si>
    <t>impartiendo justicia, e intentando ser justa, si me dejan....</t>
  </si>
  <si>
    <t>Joanca 🎗️ CATALAN CITIZEN</t>
  </si>
  <si>
    <t>Pillin, lo tenias calladito, eh... ?!?!? @pablocasado_ Pablo Casado al igual que Cospedal también se reunió con Villarejo » Diario 6</t>
  </si>
  <si>
    <t>https://diario6.com/pablo-casado-al-igual-que-cospedal-tambien-se-reunio-con-villarejo/#.W_RQqsfuYS4.twitter</t>
  </si>
  <si>
    <t>Català / Independentista</t>
  </si>
  <si>
    <t>Säl Azarot</t>
  </si>
  <si>
    <t>Pablo Casado se sienta sobre un campo minado. Si no hace una limpieza total, el PP va a desaparecer. RT @jatirado: El PP elimina el grupo de whatsapp que compartían los senadores tras la polémica por el mensaje de Cosidó</t>
  </si>
  <si>
    <t>https://twitter.com/jatirado/status/1064941697178599424
http://dlvr.it/Qrj2D4</t>
  </si>
  <si>
    <t>https://pbs.twimg.com/media/Dsdu1GnUUAEFZE0.jpg</t>
  </si>
  <si>
    <t>In Partibus Infidelium</t>
  </si>
  <si>
    <t>He decidido no servir más a señores que se me puedan morir/with Asperger/Earl of Lemongrab/Escribo Las Lunas del Olvido y Kostromá/AMAG.</t>
  </si>
  <si>
    <t>http://Instagram.com/toussaintaj</t>
  </si>
  <si>
    <t>Tribuna de Zamora</t>
  </si>
  <si>
    <t>Un Cosidó cuestionado por "manejar desde atrás" el Supremo le abre otra crisis a Pablo Casado</t>
  </si>
  <si>
    <t>https://www.tribunazamora.com/noticias/un-cosido-cuestionado-por-manejar-desde-atras-el-supremo-le-abre-otra-crisis-a-pablo-casado</t>
  </si>
  <si>
    <t>Nuevo diario digital. Toda la información de Zamora, actualizada al minuto.</t>
  </si>
  <si>
    <t>http://www.tribunazamora.com</t>
  </si>
  <si>
    <t>El portavoz popular en el Senado, Ignacio Cosidó, ha abierto con sus 'whatsapps' una segunda crisis a Pablo Casado tras la dimisión de María Dolores de Cospedal</t>
  </si>
  <si>
    <t>http://ow.ly/Q10m30mGAa5</t>
  </si>
  <si>
    <t>2RADI0 ™</t>
  </si>
  <si>
    <t>Las verdades de Pablo Casado sobre Venezuela</t>
  </si>
  <si>
    <t>pic.twitter.com/ubUHpkzfXL</t>
  </si>
  <si>
    <t>NO reconozco nada que sea ilicito</t>
  </si>
  <si>
    <t>Ya es que hasta @LuciaMendezEM se escandaliza con el PP. El PP de Pablo Casado es un caramelito para sus adversarios.</t>
  </si>
  <si>
    <t>Miquel Rosselló</t>
  </si>
  <si>
    <t>Medidas drásticas, la mano dura de Pablo Casado RT @EFEnoticias: El PP disuelve el chat de Whatsapp al que Cosidó envió su polémico mensaje</t>
  </si>
  <si>
    <t>Barcelona/Palma</t>
  </si>
  <si>
    <t>Periodista y locutor. Cuando un juego moviliza a miles de millones de personas deja de ser un mero juego (Simon Kuper)</t>
  </si>
  <si>
    <t>Mariana Pineda</t>
  </si>
  <si>
    <t>De izquierdas andaluza y catalana por conviccion.Intento ser justa !No siempre lo consigo! Viviendo otra vida!!!</t>
  </si>
  <si>
    <t>Noticias de Gipuzkoa</t>
  </si>
  <si>
    <t>Cosidó no se ha planteado dimitir y se siente respaldado por Pablo Casado</t>
  </si>
  <si>
    <t>http://ow.ly/8L0i30mGCIf</t>
  </si>
  <si>
    <t>https://pbs.twimg.com/media/DsdnyszWwAEJnyf.jpg</t>
  </si>
  <si>
    <t>Gipuzkoar Guztion Egunkaria 🗞️</t>
  </si>
  <si>
    <t>http://www.noticiasdegipuzkoa.eus</t>
  </si>
  <si>
    <t>Ignacio, ha sido "Cosido ", por Pablo Casado y Albert Rivera.</t>
  </si>
  <si>
    <t>Pablo Calvo</t>
  </si>
  <si>
    <t>El whatsapp mató la división de poderes, pero no el cinismo político. Cosidó descarta dimitir tras la renuncia de Marchena y se siente respaldado por Pablo Casado  vía @elmundoes</t>
  </si>
  <si>
    <t>Periodista. Jefe de Información del Diario HOY de Extremadura. El Atlético de Madrid como escuela de vida.</t>
  </si>
  <si>
    <t>JOSE DIAZ HERRERA</t>
  </si>
  <si>
    <t>Esta claro que los de Vox van a comerse a Pablo Casado Blanco, hijo de Aznar, por los pies este mismo año y el que viene y no volverá RT @pablocasado_: En el #DebateCanalSur ha habido un claro ganador, @JuanMa_Moreno. Contundente, seguro y con las ideas claras ha explicado sus propuestas y rebatido a quien representa el socialismo de la corrupción y a quien les ha sostenido. Enhorabuena, serás el mejor presidente de Andalucía.</t>
  </si>
  <si>
    <t>https://twitter.com/pablocasado_/status/1064655180334018562
https://twitter.com/ppandaluz/status/1064578239493013505</t>
  </si>
  <si>
    <t>New York N.Y.</t>
  </si>
  <si>
    <t>Born in Canary Island, Doctor in Journalism, Master in Control of Information. Senior editor and Writer. Next book: Spain kaput http://josediazherrera-josediaz.blogspot.com</t>
  </si>
  <si>
    <t>http://www.josediazherrera.com</t>
  </si>
  <si>
    <t>bewater71</t>
  </si>
  <si>
    <t>Atajado el primer Golpe de estado judicial... De momento. Pero o limpias de cadáveres tu corrupto partido o los zombies te morderan a ti y lo que es peor, a España, PABLO CASADO.</t>
  </si>
  <si>
    <t>Catalán, aragonès y tabarnes por obligación y por convicción higiénica. Español hasta las trancas...</t>
  </si>
  <si>
    <t>Pilar Barrientos#8M 💜</t>
  </si>
  <si>
    <t>Es de juzgado de guardia la inculta intromisión de Casado en la historia. Pero, todavía, lo es más la ofensa a los pueblos latino-americanos. Hasta la presente, nadie de su partido le ha llamado al orden.  vía @nuevatribuna</t>
  </si>
  <si>
    <t>Extremadura</t>
  </si>
  <si>
    <t>Política, feminista y demás....en definitiva, una lacra para la sociedad actual</t>
  </si>
  <si>
    <t>Pablo Casado ese político que se tiene que hacer una foto en el Burguer King para fingir familiaridad con la clase trabajadora y lo que debería preguntarse es porque ésta cuando sale sólo se puede permitir comida basura</t>
  </si>
  <si>
    <t>http://dlvr.it/QrhnJv</t>
  </si>
  <si>
    <t>https://pbs.twimg.com/media/DsdgNDaVAAEM880.jpg</t>
  </si>
  <si>
    <t>Gildo De Paz</t>
  </si>
  <si>
    <t>La valiente decisión del Magistrado Marchena, ha venido a ser una tabla de salvación para el Sr. Pablo Casado ante el vergonzoso reparto del Poder Judicial y para tanta gente desencantada por su actitud.</t>
  </si>
  <si>
    <t>80 policías para recuperar documentos de Bárcenas y ocultarlos a la justicia El actual portavoz del PP en el Senado, persona de confianza de Pablo Casado, Ignacio Cosidó,dedicó 80 policías, para recuperar papeles y cintas de Bárcenas que afectaban a altos cargos corruptos del PP.</t>
  </si>
  <si>
    <t>El presidente del PP, Pablo Casado, no ha querido atender a la prensa a su entrada a una comisión del Congreso.  vía @YouTube</t>
  </si>
  <si>
    <t>https://youtu.be/ex-7RzPCHas</t>
  </si>
  <si>
    <t>Maria Leal</t>
  </si>
  <si>
    <t>O le obligan a dimitir... O Pablo Casado caba su tumba... RT @delahozm: El PP sigue la misma estrategia que con Cospedal para forzar la dimisión de Cosidó  vía @indpcom</t>
  </si>
  <si>
    <t>https://twitter.com/delahozm/status/1064899436906770432
https://www.elindependiente.com/politica/2018/11/20/pp-misma-estrategia-cospedal-forzar-dimision-cosido/?utm_source=share_buttons&amp;utm_medium=twitter&amp;utm_campaign=social_share</t>
  </si>
  <si>
    <t>Luchadora!!! ❤️Buena persona, valiente, inquieta, sincera y...❤️</t>
  </si>
  <si>
    <t>Marta Moreno</t>
  </si>
  <si>
    <t>Pablo Casado dice que la ruptura del pacto del #CGPJ se ha hecho “para respetar el fortalecimiento de las instituciones y por el proyecto de regeneración política, y asegura que “actualmente no hay posible renovación” #CongresoDeLosDiputados</t>
  </si>
  <si>
    <t>Madrid 📍A Coruña</t>
  </si>
  <si>
    <t>Redactora de @EFEnoticias</t>
  </si>
  <si>
    <t>Isra</t>
  </si>
  <si>
    <t>Esto para ayudar mejor a entender la miseria política y la cara de cemento armado que tiene Pablo Casado.</t>
  </si>
  <si>
    <t>https://pbs.twimg.com/media/DsdamCkWkAAqiZf.jpg</t>
  </si>
  <si>
    <t>Padre por devoción, correspondido por suerte, obrero, historiador en proyecto, corro, nado y ando en bici por placer y oviedista por corazón.</t>
  </si>
  <si>
    <t>https://estonoesunachapa.wordpress.com/</t>
  </si>
  <si>
    <t>Si éste es todo el argumento que tienen contra @vox_es no le arriendo las ganancias a @pablo_casado en estas elecciones... RT @elespanolcom: El PP declara la guerra a Vox: "Votarles es ayudar a los socialistas"</t>
  </si>
  <si>
    <t>https://twitter.com/elespanolcom/status/1064825680192368642
https://www.elespanol.com/espana/20181120/pp-declara-guerra-vox-votarles-ayudar-socialistas/354465099_0.html</t>
  </si>
  <si>
    <t>RusiaBall</t>
  </si>
  <si>
    <t>"No te la esnifes, contrólate Albert... Recuerda que hoy te toca hacer de Pablo Casado"</t>
  </si>
  <si>
    <t>https://pbs.twimg.com/media/DsdZJFoWsAECq-D.jpg</t>
  </si>
  <si>
    <t>MALDOGRADO</t>
  </si>
  <si>
    <t>Quien no conoce al zar, a cualquier Putin le reza.</t>
  </si>
  <si>
    <t>https://curiouscat.me/RusiaBall</t>
  </si>
  <si>
    <t>Antonio Peral Villar</t>
  </si>
  <si>
    <t>Pablo Casado rompe el acuerdo con el PSOE sobre la renovación del CGPJ por "respeto" a los jueces y fiscales y por el "fortalecimiento de las instituciones": "Casado justifica la ruptura del pacto sobre el CGPJ «por dignidad y respeto»" vía @larazon_es</t>
  </si>
  <si>
    <t>https://www.larazon.es/espana/casado-justifica-la-ruptura-del-pacto-sobre-el-cgpj-por-dignidad-y-respeto-AE20609494</t>
  </si>
  <si>
    <t>Alicante (Spain)</t>
  </si>
  <si>
    <t>«No importa el camino que elijas, pero hazlo siempre con el corazón» (Confucio) ~ Presidente PP Alicante @AlicantePopular #ilusionPorElFuturo 🇪🇸 @PPopular</t>
  </si>
  <si>
    <t>http://antonioperal.blogspot.com</t>
  </si>
  <si>
    <t>La tarde de Dieter</t>
  </si>
  <si>
    <t>.@Alejandro_vara : "En el PP hay una guerra civil de la leche. Eso lo sabe Pablo Casado que está en el partido desde que nació. Hay algunos diputados del PP que están disfrutando mucho más que diputados del PSOE".</t>
  </si>
  <si>
    <t>Programa de esRadio, de 16:00 a 19:00 de la tarde</t>
  </si>
  <si>
    <t>http://esradio.libertaddigital.com/es-la-tarde-de-dieter/</t>
  </si>
  <si>
    <t>MOONVICUS</t>
  </si>
  <si>
    <t>Pablo Casado propone ahora una reforma para que los jueces elijan a los vocales del CGPJ  vía @elmundoes</t>
  </si>
  <si>
    <t>https://pbs.twimg.com/media/Dsbc60fXcAAG1t9.jpg</t>
  </si>
  <si>
    <t>Cayetano González: "Pablo Casado hoy tiene que estar profundamente agradecido a Ignacio Cosidó. El Whatsapp de Cosidó ha sido el detonante de la paciencia del señor Marchena. A Casado le han servido en bandeja sacar la pata de donde la había metido".</t>
  </si>
  <si>
    <t>RADIOLECOSTALUZ.COM</t>
  </si>
  <si>
    <t>Pablo Casado visita la Costa de Huelva</t>
  </si>
  <si>
    <t>http://radiolecostaluz.com/pablo-casado-visita-la-costa-de-huelva/</t>
  </si>
  <si>
    <t>Barcelona, Espanya</t>
  </si>
  <si>
    <t>LEPE</t>
  </si>
  <si>
    <t>http://www.radiolecostaluz.com</t>
  </si>
  <si>
    <t>0bservador_</t>
  </si>
  <si>
    <t>Euskal Herria/Spain/La Zona</t>
  </si>
  <si>
    <t>No comparto necesariamente las opiniones de mis retweets</t>
  </si>
  <si>
    <t>J. Luis Benavente</t>
  </si>
  <si>
    <t>A buenas horas mangas verdes. Primero pasteleo y ahora esto... Pablo Casado propone ahora una reforma para que los jueces elijan a los vocales del CGPJ  vía @elmundoes</t>
  </si>
  <si>
    <t>Padre de 3 chicas encantadoras. Profesor. Blogger</t>
  </si>
  <si>
    <t>http://30dediferencia.com</t>
  </si>
  <si>
    <t>Xavier Horcajo</t>
  </si>
  <si>
    <t>Momento clave para Pablo Casado, la renovación del PP y su credibilidad dependen de que se deshaga de Ignacio Cosidó por sus whatsapp y de Catalá, por meterle en el pasteleo de la justicia con el PSOE.</t>
  </si>
  <si>
    <t>Periodista y consultor estratégico</t>
  </si>
  <si>
    <t>Gobierno pptorrox</t>
  </si>
  <si>
    <t>Político del año Pablo Casado Enhorabuena #Presidente</t>
  </si>
  <si>
    <t>https://www.facebook.com/pptorroxnoticias/posts/1809474675841127</t>
  </si>
  <si>
    <t>Torrox TorroxCosta ElMorche</t>
  </si>
  <si>
    <t>twitter oficial de el equipo de @pptorrox #GobppTorrox</t>
  </si>
  <si>
    <t>Valbu</t>
  </si>
  <si>
    <t>Decidme que no soy el único que desde las célebres delcaraciones de Pablo Casado usa la frase "¡viva el rey!" más de una vez al día</t>
  </si>
  <si>
    <t xml:space="preserve">Dark Side of the Moon </t>
  </si>
  <si>
    <t>TRUST THE PROCESS.</t>
  </si>
  <si>
    <t>Las violetas imperiales de Pablo Casado | Escribe José Luis López Bulla  via @nuevatribuna</t>
  </si>
  <si>
    <t>https://pbs.twimg.com/media/DsdQI2eW0AA2KyS.jpg</t>
  </si>
  <si>
    <t>Madrid - España</t>
  </si>
  <si>
    <t>Pablo Casado le busca este puesto a Fátima Báñez</t>
  </si>
  <si>
    <t>http://www.huffingtonpost.es/2018/11/20/casado-propone-a-banez-presidir-la-comision-de-asuntos-exteriores-del-congreso_a_23594833/</t>
  </si>
  <si>
    <t>https://pbs.twimg.com/media/DsdQxsXW0AMG918.jpg</t>
  </si>
  <si>
    <t>nuevatribuna.es #Igualdad</t>
  </si>
  <si>
    <t>http://Nuevatribuna.es Por un diario independiente y progresista</t>
  </si>
  <si>
    <t>http://www.nuevatribuna.es</t>
  </si>
  <si>
    <t>OKDIARIO</t>
  </si>
  <si>
    <t>Casado exige a Sánchez que deje ya “las estrategias partidistas” y convoque elecciones</t>
  </si>
  <si>
    <t>https://okdiario.com/espana/2018/11/20/pablo-casado-pedro-sanchez-elecciones-3372417?utm_term=Autofeed&amp;utm_campaign=ok&amp;utm_medium=Social&amp;utm_source=Twitter#Echobox=1542728796</t>
  </si>
  <si>
    <t>El sitio de los inconformistas. Dirigido por @eduardoinda. Síguenos en Facebook: http://facebook.com/okdiario.</t>
  </si>
  <si>
    <t>http://okdiario.com/</t>
  </si>
  <si>
    <t>Pablo Casado no quiere más ‘arriolas’ y externaliza el servicio demoscópico del PP  vía @ecd_</t>
  </si>
  <si>
    <t>https://www.elconfidencialdigital.com/articulo/politica/pablo-casado/20181119193601118311.html</t>
  </si>
  <si>
    <t>Ivan Lara</t>
  </si>
  <si>
    <t>Joder con el Tigretón... Ya, lo sé, es una Pantera Rosa, pero en las andaluzas os plantan a Moreno Bonilla con la foto de Pablo Casado y no decís esta boca es mía.</t>
  </si>
  <si>
    <t>https://pbs.twimg.com/media/DsdPPYYWsAEExEM.jpg</t>
  </si>
  <si>
    <t>Locutor Publicitario.</t>
  </si>
  <si>
    <t>http://youtu.be/8mujsk4mBHo</t>
  </si>
  <si>
    <t>Antonio Cabo</t>
  </si>
  <si>
    <t>Pablo Casado suspende el proceso de renovación del Consejo General del Poder Judicial tras el plante de Marchena</t>
  </si>
  <si>
    <t>http://www.periodistadigital.com/politica/justicia/2018/11/20/pablo-casado-suspende-el-proceso-de-renovacion-del-consejo-general-del-poder-judicial-tras-el-plante-de-marchena.shtml</t>
  </si>
  <si>
    <t>https://www.libertaddigital.com/espana/2018-11-20/casado-suspende-el-proceso-de-renovacion-del-cgpj-y-reivindicara-un-cambio-en-el-sistema-de-eleccion-1276628501/</t>
  </si>
  <si>
    <t>Sax - Alicante</t>
  </si>
  <si>
    <t>Católico. Español. Amante de las pequeñas cosas. Licenciado con 'aprobao-raspao' en la Universidad de la Vida.</t>
  </si>
  <si>
    <t>Jesús Ortega</t>
  </si>
  <si>
    <t>Pablo Casado no quiere más ‘arriolas’ y externaliza el servicio demoscópico del PP</t>
  </si>
  <si>
    <t>https://bit.ly/2Blbfgw</t>
  </si>
  <si>
    <t>https://pbs.twimg.com/media/DsdOr8sXcAAg9GY.jpg</t>
  </si>
  <si>
    <t>Periodista. Aprovecho mi cuenta en Twitter para compartir las noticias que escribo en El Confidencial Digital y también comentar los temas de actualidad</t>
  </si>
  <si>
    <t>MSGDP</t>
  </si>
  <si>
    <t>Pablo Casado propone ahora una reforma para que los jueces elijan a los vocales del CGPJ  via @elmundoes</t>
  </si>
  <si>
    <t>Spirited, Open-minded, Spontaneous, Enthusiastic, Collector, Traveller &amp; Joyful!</t>
  </si>
  <si>
    <t>Carlos Serrano</t>
  </si>
  <si>
    <t>"...Pablo Casado tiene su porvenir construido sobre un cementerio indio..." es una gran frase. RT @cultrun: Demolición x David Gistau  vía @elmundoes</t>
  </si>
  <si>
    <t>https://twitter.com/cultrun/status/1064897840126836741
https://www.elmundo.es/opinion/2018/11/20/5bf2cafce5fdeacc128b4664.html</t>
  </si>
  <si>
    <t>Heart-stopping, pants-dropping, house-rocking, earth-quaking, booty-shaking, love-making &amp; legendary. Como The E Street Band. No tengo abuela, claro.</t>
  </si>
  <si>
    <t>Alberto Sotillos</t>
  </si>
  <si>
    <t>El futuro de Pablo Casado depende de que en el PP prohiban el Whatsapp RT @ElHuffPost: Un concejal del PP en Cuenca, en su estado de Whatsapp: "¡Gracias Franco!"</t>
  </si>
  <si>
    <t>https://twitter.com/ElHuffPost/status/1064901470926053377
https://www.huffingtonpost.es/2018/11/20/un-concejal-del-pp-en-cuenca-en-su-estado-de-whatsapp-gracias-franco_a_23594795/?utm_hp_ref=es-homepage</t>
  </si>
  <si>
    <t>https://pbs.twimg.com/media/DsdKOlUXQAUdpjI.jpg</t>
  </si>
  <si>
    <t>Padre. Sociólogo. Socio director de @Mrpresident_es ➡️Consultoría de comunicación. Descubre qué esconde la novela “Mejor no saberlo”⬇️⬇️</t>
  </si>
  <si>
    <t>https://albertosotillos.com/mejor-no-saberlo/</t>
  </si>
  <si>
    <t>TODOS LOS FACHAS ODIAN A PODEMOS!!!💜✊</t>
  </si>
  <si>
    <t>Yel pp con Pablo Casado a la cabeza continúa su huída hacia adelante</t>
  </si>
  <si>
    <t>https://m.publico.es/politica/2068857/controlaremos-la-sala-segunda-desde-detras-un-portavoz-del-pp-destapa-en-un-whatsapp-la-falta-de-independencia-judicial</t>
  </si>
  <si>
    <t>📻#EditorialDieter: "Si Pablo Casado aprende de esta experiencia, a lo mejor la próxima vez que los fantasmas de su partido le digan que hay que negociar en secreto con el PSOE el reparto de los jueces por el bien del PP, lo mismo se lo piensa dos veces". @esRadio</t>
  </si>
  <si>
    <t>Javier Lillo</t>
  </si>
  <si>
    <t>Cosidó señala que no se ha planteado dimitir y se siente respaldado por Pablo Casado  vía @epnacional</t>
  </si>
  <si>
    <t>https://www.europapress.es/nacional/noticia-cosido-senala-no-planteado-dimitir-siente-respaldado-pablo-casado-20181120122235.html</t>
  </si>
  <si>
    <t>El Rastro, Madrid</t>
  </si>
  <si>
    <t>Periodista, en @europapress | Antes en @europapress_tv | Radio y bici en @_patadecabra_ | #ChulaFan | por aquí sólo opino y comparto</t>
  </si>
  <si>
    <t>http://www.patadecabra.es</t>
  </si>
  <si>
    <t>Bfdzn</t>
  </si>
  <si>
    <t>Pablo Casado da bastante asco y grima.</t>
  </si>
  <si>
    <t>Programador informático , Ldo. en Historia, máster Hª de España cntmp., comunista, español e iberista.Hincha del CD Leganés y luchador antimadridista.</t>
  </si>
  <si>
    <t>http://antimadridismo.tk</t>
  </si>
  <si>
    <t>Verás @pablo_casado.Eres un excelente parlamenteario y un político honrado.Pero presides un partido extremadamente corrupto y lleno de  no LIMPIAS A FONDO toda la mierda, incluídos submarinos de PSOE etc, mejor retírate dignamente</t>
  </si>
  <si>
    <t>http://gentuza.Si</t>
  </si>
  <si>
    <t>Esparroquí 💜🎗💜</t>
  </si>
  <si>
    <t>Me ha gustado un vídeo de @YouTube ( - Varapalo de Pedro Sánchez a Pablo Casado: "No sé qué clase media</t>
  </si>
  <si>
    <t>http://youtu.be/99NujzrDLFs?a</t>
  </si>
  <si>
    <t>Resististán</t>
  </si>
  <si>
    <t>Pienso con mi Teclado, sin Filtros, con Criterios! Quien siembra miseria, no es el que siempre recoge su cólera! Creador de http://Casos-Aislados.com</t>
  </si>
  <si>
    <t>http://www.digo-yo.es/author/esparroqui/</t>
  </si>
  <si>
    <t>Aitana</t>
  </si>
  <si>
    <t>Hoy 20-N te superas, Pablo Casado. &gt;Nadie mejor q el PP distribuyó los fondos públicos, eso si, entre los mismos golfos. Ilegalizado debería estar el PP, y hace tiempo, sentenciados x corruPPtos. #FelizMartes, machote! RT @pablocasado_: En España no puede haber barra libre porque Sánchez necesite el apoyo de los independentistas para seguir en la Moncloa. Hay que ilegalizar a los violentos y evitar que tengan fondos públicos; no se puede seguir la escalada de tensión en Cataluña sin que haya consecuencias.</t>
  </si>
  <si>
    <t>https://twitter.com/pablocasado_/status/1064598758489563139</t>
  </si>
  <si>
    <t>pic.twitter.com/jl1DXtXZKA</t>
  </si>
  <si>
    <t>Alice</t>
  </si>
  <si>
    <t>Pablo Casado es el líder político más ignorante y con menos formación(real) académica, de toda la democracia. Penoso.</t>
  </si>
  <si>
    <t>Palma-Illes Balears-</t>
  </si>
  <si>
    <t>Provocatriz-Provocaire y Surrealista. Difusa y dispersa. #Canavall #ésPalma</t>
  </si>
  <si>
    <t>ĐąęňęřīşđęłąŢøřməňţą</t>
  </si>
  <si>
    <t>aquí mismo</t>
  </si>
  <si>
    <t>Hąy qųë åpřøvəçhär ľå vıđą ę§ ųrğęňţę Ďømêňįçø Şåbïå (Dpto. de Cirugía General y Oncología Quirúrgica del Hospital Sant Joan Despí)</t>
  </si>
  <si>
    <t>Pablo Casado al igual que Cospedal también se reunió con Villarejo » Diario 6</t>
  </si>
  <si>
    <t>https://diario6.com/pablo-casado-al-igual-que-cospedal-tambien-se-reunio-con-villarejo/#.W_QhWeg8meE.twitter</t>
  </si>
  <si>
    <t>Las violetas imperiales de Pablo Casado  vía @nuevatribuna Es de juzgado de guardia la inculta intromisión de Casado en la historia. Pero, todavía, lo es más la ofensa a los pueblos latino-americanos</t>
  </si>
  <si>
    <t>Rous 🇫🇷 françaiscatala</t>
  </si>
  <si>
    <t>Cosidó: “Me siento plenamente respaldado por Casado”  vía @diario_16 este mismo martes preguntará a Sánchez en la sesión d control en la Cámara Alta si se compromete a no solicitar el indulto para los procesados por graves delitos contra la unidad d España</t>
  </si>
  <si>
    <t>Tinc mil motius per marxar i un de sol per quedar-me !!</t>
  </si>
  <si>
    <t>miserg</t>
  </si>
  <si>
    <t>"Todo el día con la guerra del abuelo". Feliz 20N Pablo Casado.</t>
  </si>
  <si>
    <t>Por decirlo con ironía.Por compartir emociones. Por estar harto de escuchar mentiras. Porque me da la gana</t>
  </si>
  <si>
    <t>http://dlvr.it/QrhDd4</t>
  </si>
  <si>
    <t>https://pbs.twimg.com/media/DsdBo18WwAIRW-6.jpg</t>
  </si>
  <si>
    <t>Sgt Pepper's</t>
  </si>
  <si>
    <t>Mañana este genocida estará en Málaga. Aznar (PP) viene a Málaga en campaña electoral para echarle una mano a su hijo político, Pablo Casado. Mañana presenta ‘su libro’ ‘El futuro es hoy’ en el salón de actos del CAC (Centro de Arte Contemporáneo)</t>
  </si>
  <si>
    <t>http://www.revistaelobservador.com/opinion/50-redaccion/14202-aznar-pp-viene-a-malaga-en-campana-electoral-para-echarle-una-mano-a-su-hijo-politico-pablo-casado-manana-presenta-su-libro-el-futuro-es-hoy-en-el-salon-de-actos-del-cac-centro-de-arte-contemporaneo</t>
  </si>
  <si>
    <t>#4D #Caparros</t>
  </si>
  <si>
    <t>JMBoneu_🎗</t>
  </si>
  <si>
    <t>😂😂😂 Pedro Sánchez y Pablo Casado trabajarán como jueces por las tardes mientras no se escoja a un nuevo presidente del Poder Judicial  vía @elmundotoday</t>
  </si>
  <si>
    <t>BCN- Catalunya</t>
  </si>
  <si>
    <t>🎗Profe interessat en l'educació, actualitat i laboral, la innovació educativa, les TIC, l'e-learning, a passar-ho bé 🖖, i en una bona rialla 😂</t>
  </si>
  <si>
    <t>No deberíamos de olvidar que el presi del @PPopular el @pablocasado_, también almorzó con Villarejo. No lo olvidemos esto y hagamos que el pueblo lo sepa. Compartamos. #PSOEGeneraIlusión #ElPSOEDaSeguridad #GPEDROSC #PSOEGeneraConfianza</t>
  </si>
  <si>
    <t>Patricia</t>
  </si>
  <si>
    <t>España Cosidó señala que no se ha planteado dimitir y se siente respaldado por Pablo Casado</t>
  </si>
  <si>
    <t>https://pbs.twimg.com/media/Dsc9zYQXcAAylY4.jpg</t>
  </si>
  <si>
    <t>✌☮carpe díem ♡♬</t>
  </si>
  <si>
    <t>Folgueira Manuel</t>
  </si>
  <si>
    <t>¿Quién le dio las instrucciones de dinamitar el ACUERDO?  vía @diario_16</t>
  </si>
  <si>
    <t>Entre Ceuta, Tanger y el resto</t>
  </si>
  <si>
    <t>Terminando de aprender a vivir</t>
  </si>
  <si>
    <t>Ahora caigo: García Tejerina ha mandado a Andalucía a uno que estudió en Castilla León, Pablo Casado, a contarnos lo que hizo Colón. Gracias Isabel (no la católica)</t>
  </si>
  <si>
    <t>Profesor de secundaria de lengua aficionado, diletante más bien, a la arqueología y el arte. Yo era de francés, pero a la vejez me da por aprender inglés.</t>
  </si>
  <si>
    <t>AT</t>
  </si>
  <si>
    <t>Asi SI “Pablo Casado propone ahora una reforma para que los jueces elijan a los vocales del CGPJ” @elmundoes</t>
  </si>
  <si>
    <t>http://www.elmundo.es/espana/2018/11/20/5bf4064222601d460c8b45ee.html</t>
  </si>
  <si>
    <t>Jessy Brunos</t>
  </si>
  <si>
    <t>Cosidó no se plantea dimitir tras la renuncia de Marchena y se siente respaldado por Pablo Casado</t>
  </si>
  <si>
    <t>https://ift.tt/2FvpC5S</t>
  </si>
  <si>
    <t>Una friki amante de tecnología, fútbol, moda y música ^.^ Y gracias a Twitter leo todo aquí ;D</t>
  </si>
  <si>
    <t>ENRIQUE SANCHEZ</t>
  </si>
  <si>
    <t>Pablo Casado Presidente del Partido Popular Independencia Judicial</t>
  </si>
  <si>
    <t>https://pbs.twimg.com/media/Dsc5txIXgAA2UVx.jpg</t>
  </si>
  <si>
    <t>MADRID-ESPAÑA</t>
  </si>
  <si>
    <t>JUSTICIA &amp; ETICA PROFESIONAL</t>
  </si>
  <si>
    <t>http://enrique2311.wordpress.com</t>
  </si>
  <si>
    <t>El presidente del PP, Pablo Casado reitera que el pacto por el Poder Judicial está roto  vía @YouTube</t>
  </si>
  <si>
    <t>https://youtu.be/wYWqKC8cYGc</t>
  </si>
  <si>
    <t>Pablo Casado: "Los de izquierdas son unos carcas, todo el día con la fosa de no sé quién." Las heridas no pueden reabrirse si no están cerradas, ocultándolas -como hacen PPSOEVoxCs- no hace más que alimentarlas y dejarlas pudrir. #PasadoMuyPresente</t>
  </si>
  <si>
    <t>https://pbs.twimg.com/media/Dsc5JDvX4AAKCLJ.jpg</t>
  </si>
  <si>
    <t>SodioT❤</t>
  </si>
  <si>
    <t>Por qué coño sigo a Pablo Casado en Twitter</t>
  </si>
  <si>
    <t>COPE</t>
  </si>
  <si>
    <t>humana. tengo un hermano. @davidmnnc @slendergirl16_ te quiere.</t>
  </si>
  <si>
    <t>http://desdeelespectador.blogspot.com</t>
  </si>
  <si>
    <t>Andaluz</t>
  </si>
  <si>
    <t>Pablo Casado propone invadir Polonia para hacer España más grande  vía @eljueves</t>
  </si>
  <si>
    <t>Está pasando, estás en COPE 📻 Toda la información 💻, el mejor equipo de la radio deportiva🏅, el mejor entretenimiento y podcast 🎙️</t>
  </si>
  <si>
    <t>http://www.cope.es</t>
  </si>
  <si>
    <t>no hay mayor idiota que el obrero patriota del estado que lo explota.</t>
  </si>
  <si>
    <t>Aúnque estamos cometiendo fallos anteriores, ¿ quien va a regenerar el PP? Pablo Casado, y donde estaba Casado cuando sus compañeros delincuentes expoliaban este pais? con cargo importante en la banda PP,él ,no puede ser el "Cleaner"</t>
  </si>
  <si>
    <t>jesus cano perea</t>
  </si>
  <si>
    <t>No me terminó de acostumbrar a Pablo Casado, cada vez que van a sacar al jefe del PP en la TV tengo la esperanza de que salga Mariano</t>
  </si>
  <si>
    <t>23 años, estudiante de sistemas de telecomunicaciones, UMA.</t>
  </si>
  <si>
    <t>http://dlvr.it/Qrh2dR</t>
  </si>
  <si>
    <t>https://pbs.twimg.com/media/Dsc2MXVU4Aof3SL.jpg</t>
  </si>
  <si>
    <t>flikxxi</t>
  </si>
  <si>
    <t>Pablo Casado pide acabar con el "régimen chantajista y clientelar" de Susana…  #TalkTextApp ()</t>
  </si>
  <si>
    <t>https://www.elespanol.com/espana/politica/20181118/pablo-casado-chantajista-clientelar-susana-diaz-andalucia/354214915_0.html
https://goo.gl/JE0fuh</t>
  </si>
  <si>
    <t>Écija, Sevilla, España</t>
  </si>
  <si>
    <t>zen programmer and code geek, I'll code for fun for me and for money for you</t>
  </si>
  <si>
    <t>http://www.redninjastudio.com</t>
  </si>
  <si>
    <t>http://dlvr.it/Qrh2ZZ</t>
  </si>
  <si>
    <t>https://pbs.twimg.com/media/Dsc2G9jVsAAwa67.jpg</t>
  </si>
  <si>
    <t>Periodista Digital</t>
  </si>
  <si>
    <t>http://bit.ly/2A7IbqZ</t>
  </si>
  <si>
    <t>Earth</t>
  </si>
  <si>
    <t>Influir en la gente que influye. Síguenos también en https://www.facebook.com/PeriodistaDigit</t>
  </si>
  <si>
    <t>http://www.periodistadigital.com</t>
  </si>
  <si>
    <t>Vicky si es si</t>
  </si>
  <si>
    <t>❌Pablo Casado emplea con Cosidó el 'modus operandi' de Cospedal //cadenaser.com/ser/2018/11/20/politica/1542699324_507305.html?ssm=tw ❌La culpa del Gobierno🤔 ❌Todos tienen la culpa menos el PP y Casado ❌Y ni hablamos de destituir a Cosidó #IlegalizacionDelPP #casadodimision</t>
  </si>
  <si>
    <t>Yo con Pedro ⭕Presidente⭕ Universitaria por curiosidad. Socialista por convicción actualmente feliz 😊 (Ah, se me olvidó decir q soy del Betis manquepierda)</t>
  </si>
  <si>
    <t>Jose Mª Larrosa Morales</t>
  </si>
  <si>
    <t>Cuando quedan retratados, se apuntan a la iniciativa de @CiudadanosCs para que jueces elijan a los miembros del GGPJ. Ni ética ni principios @PPopular Pablo Casado promete ahora una reforma para que los jueces elijan a los vocales del CGPJ  vía @elmundoes</t>
  </si>
  <si>
    <t>La Unión, España</t>
  </si>
  <si>
    <t>Abogado y mediador civil y mercantil en Larrosa &amp; Vegas Abogados, derecho civil y mercantil. Socio director departamento jurídico en Actio Insolventiae, S.L.P.</t>
  </si>
  <si>
    <t>infoLibre</t>
  </si>
  <si>
    <t>Cosidó no se ha planteado dimitir y asegura que se siente respaldado por Pablo Casado</t>
  </si>
  <si>
    <t>http://ow.ly/G4qN30mGrbJ</t>
  </si>
  <si>
    <t>https://pbs.twimg.com/media/Dsc0SexWoAAQkWS.jpg</t>
  </si>
  <si>
    <t>Información libre e independiente. Apuesta por el periodismo de calidad. ¡Hazte soci@ y actúa!</t>
  </si>
  <si>
    <t>http://www.infolibre.es</t>
  </si>
  <si>
    <t>Juanma Lamet</t>
  </si>
  <si>
    <t>Pablo Casado promete ahora una reforma para que los jueces elijan de verdad a los vocales del CGPJ</t>
  </si>
  <si>
    <t>Sevillano en Madrid</t>
  </si>
  <si>
    <t>Periodista en El Mundo. Gasto medio sueldo en discos y conciertos, el resto lo desperdicio.</t>
  </si>
  <si>
    <t>Pablo Mena Mendoza</t>
  </si>
  <si>
    <t>Denunciado el Fiscal que pidió el archivo del caso Máster de Pablo Casado El teniente fiscal del Tribunal Supremo, Luis Navajas, que pidió el archivo del caso Master de Pablo Casado ha sido denunciado por pedir el archivo del asunto de la hija de Marchena</t>
  </si>
  <si>
    <t>https://pbs.twimg.com/media/DsczlYRWoAEE9tq.jpg</t>
  </si>
  <si>
    <t>DIARIO DEL VALLE</t>
  </si>
  <si>
    <t>Editor del Diario del Valle</t>
  </si>
  <si>
    <t>Desde el espacio se pueden ver la gran muralla china y los huevos de Pablo Casado.</t>
  </si>
  <si>
    <t>Mariano Cruz</t>
  </si>
  <si>
    <t>La opinión que tiene gran parte de la ciudadanía de este país sobre el Sr Pablo Casado es la de una persona, políticamente, indeseable. Y es lo que les sucede a aquellas personas que no valen ni un comino, y ellas, lo saben.</t>
  </si>
  <si>
    <t>Los amos de la noticia</t>
  </si>
  <si>
    <t>Palabras de Pablo Casado tras enterarse de la homosexualidad de Dumbledore:"Tenían que joderme Harry Potter" #JohnnyDepp #JudeLaw #FantasticBeastsTheCrimesOfGrindelwald #Homofobia #AsiNo</t>
  </si>
  <si>
    <t>https://goo.gl/images/eVveu9</t>
  </si>
  <si>
    <t>https://pbs.twimg.com/media/DscyJtsXQAIfTLo.jpg</t>
  </si>
  <si>
    <t>Washington, DC</t>
  </si>
  <si>
    <t>Las noticias más frescas y verídicas desde 1945</t>
  </si>
  <si>
    <t>Just watch me - Vive la Tabarnie Libre</t>
  </si>
  <si>
    <t>Pablo Casado promete ahora una reforma para que los jueces elijan a los vocales del CGPJ  vía @elmundoes</t>
  </si>
  <si>
    <t>Insert bio here</t>
  </si>
  <si>
    <t>El Mundo Today</t>
  </si>
  <si>
    <t>https://pbs.twimg.com/media/Dscx1SuXcAAHKjx.jpg</t>
  </si>
  <si>
    <t>La actualidad del mañana.</t>
  </si>
  <si>
    <t>http://www.elmundotoday.com</t>
  </si>
  <si>
    <t>Agente Smint</t>
  </si>
  <si>
    <t>Madre mía, lo que me faltaba por ver. Carlos de Inglaterra apoyando públicamente a Pablo Casado...</t>
  </si>
  <si>
    <t>https://pbs.twimg.com/media/Dscxuu6XgAAH0i0.jpg</t>
  </si>
  <si>
    <t>Detrás de ti.</t>
  </si>
  <si>
    <t>Nacido para ser feliz, no para parecer perfecto. Para quejas y sugerencias diríjase a mi pinganillo. 😎</t>
  </si>
  <si>
    <t>http://www.agentesmint.blogspot.com</t>
  </si>
  <si>
    <t>xavi mora</t>
  </si>
  <si>
    <t>Me encantaría saber qué piensan hacer Albert Ribera y Pablo Casado por España si salen elegidos. Lo que quieren hacer contra Catalunya y los catalanes ya lo sabemos.</t>
  </si>
  <si>
    <t>Escribo y opino desde mi habitación acolchada.</t>
  </si>
  <si>
    <t>Juan Antonio Tirado</t>
  </si>
  <si>
    <t>Pablo Casado promete ahora una reforma para que los jueces elijan a los vocales del CGPJ</t>
  </si>
  <si>
    <t>http://dlvr.it/Qrgy1H</t>
  </si>
  <si>
    <t>https://pbs.twimg.com/media/DscxB_NV4AAZyd1.jpg</t>
  </si>
  <si>
    <t>Periodista. Onda Cero. Editor de iBooks, director de @Stonewall_iBook; Radio Inter, Onda Madrid, Radio Voz, City Fm; Prensa4, El Telegrafo y Fotos; PopularTV...</t>
  </si>
  <si>
    <t>https://itunes.apple.com/es/book/gettysburg-1863/id665369445?mt=11</t>
  </si>
  <si>
    <t>La Gaceta</t>
  </si>
  <si>
    <t>Cosidó no dimite y asegura tener el respaldo del líder del PP, Pablo Casado</t>
  </si>
  <si>
    <t>http://bit.ly/2S49WYS</t>
  </si>
  <si>
    <t>https://pbs.twimg.com/media/DscqZR8WkAAv0o4.jpg</t>
  </si>
  <si>
    <t>Twitter oficial del periódico La Gaceta del Grupo @Intereconomia. En Facebook: http://www.facebook.com/gaceta.es</t>
  </si>
  <si>
    <t>http://www.gaceta.es</t>
  </si>
  <si>
    <t>Declaraciones de Pablo Casado:"Si llego a ser presidente sustituiré todos los restaurantes tradicionales andaluces por McDonald's, lo juro por Franco". #20N #MakeSpainGraitAgain #UniversidadReyJuanCarlos #MasterMind</t>
  </si>
  <si>
    <t>https://goo.gl/images/ac56Eo</t>
  </si>
  <si>
    <t>https://pbs.twimg.com/media/Dscv_sAX4AAQcw9.jpg</t>
  </si>
  <si>
    <t>Carmen Obregón</t>
  </si>
  <si>
    <t>Pablo Casado propone volver al sistema de elección del CGPJ anterior al de 1985, cuya reforma supuso, según algunos medios q trataron de reproducir a Alfonso Guerra, "la muerte de Montesquieu"</t>
  </si>
  <si>
    <t>El Economista</t>
  </si>
  <si>
    <t>Periodista de El Economista intentado descifrar qué quieren decirnos los políticos</t>
  </si>
  <si>
    <t>Antípodas</t>
  </si>
  <si>
    <t>Desde que Pablo Casado defienda publicamente a Cosidó, a este le quedarán 48 horas de vida política... #PP #Corrupcion  vía @elpais_espana</t>
  </si>
  <si>
    <t>https://elpais.com/politica/2018/11/20/actualidad/1542709427_130352.html?id_externo_rsoc=TW_CC</t>
  </si>
  <si>
    <t>¡Pues anda que en Zimbawe...!</t>
  </si>
  <si>
    <t>DEIA_Bizkaia</t>
  </si>
  <si>
    <t>Cosidó no se plantea dimitir y se siente respaldado por Pablo Casado: El mensaje de Cosidó por WhatsApp: "Controlaremos la Sala Segunda desde atrás"  #politica</t>
  </si>
  <si>
    <t>http://dlvr.it/QrgvhC</t>
  </si>
  <si>
    <t>https://pbs.twimg.com/media/DscuThYU0AAqZwp.jpg</t>
  </si>
  <si>
    <t>Noticias de Euskadi actualizadas continuamente. Bizkaia, Athletic, deportes, economía, política. cultura, ocio, etc</t>
  </si>
  <si>
    <t>http://www.deia.eus</t>
  </si>
  <si>
    <t>carmen juan</t>
  </si>
  <si>
    <t>Que dice Pablo Casado que cualquier cosa que se haya dicho a través del movil no es verdad. Y los suyos le aplauden cómo han aplaudido a Cosidó 🤔</t>
  </si>
  <si>
    <t>Periodista. Subdirectora Julia en la Onda. Opino por mi cuenta.</t>
  </si>
  <si>
    <t>Noticiero Universal</t>
  </si>
  <si>
    <t>Pablo Casado abre las puertas a ilegalizar "algunos credos inasumibles que acaban en una radicalización violenta" -</t>
  </si>
  <si>
    <t>https://noticierouniversal.com/actualidad/pablo-casado-abre-las-puertas-a-ilegalizar-algunos-credos-inasumibles-que-acaban-en-una-radicalizacion-violenta/</t>
  </si>
  <si>
    <t>Noticias en tiempo real</t>
  </si>
  <si>
    <t>http://www.noticierouniversal.com</t>
  </si>
  <si>
    <t>Amo del Universe</t>
  </si>
  <si>
    <t>#SupremoPlantónARV Pablo Casado dice que la justicia nunca ha sido politizada por el PP Claro, el lo sabe bien...tiene un máster en todo este asunto. Si le queda algo de dignidad a este pijo dimitiria, dejaría su aforamiento y sería juzgado igual que todos ¿Que temes máster?🤔</t>
  </si>
  <si>
    <t>Si pensais que voy a defender a estos de los 🐰🇪🇸PPSOECsUP🇪🇸🐰 es que no sabeis nada de la política y mucho de los políticos</t>
  </si>
  <si>
    <t>Alonso Díaz de Coronado ||~||</t>
  </si>
  <si>
    <t>Entre unos sinvergüenzas y otros como tú os habéis barato al ⁦@PPopular⁩. Sangría de votos garantizada. ( el mío, desde luego se va). Cosidó descarta dimitir tras la renuncia de Marchena y se siente respaldado por Pablo Casado | España</t>
  </si>
  <si>
    <t>Soy una bestia repugnante para el presidente de Cataluña. Mi idioma, el español, suena a alaridos de hiena. A mi ADN le falta un hervor para ser humano 🇪🇸.</t>
  </si>
  <si>
    <t>Coffee Break</t>
  </si>
  <si>
    <t>Pedro Sánchez y Pablo Casado trabajarán como jueces por las tardes mientras no se escoja a un nuevo presidente del Poder Judicial  #Humor</t>
  </si>
  <si>
    <t>http://bit.ly/2Tu8non</t>
  </si>
  <si>
    <t>Curiosidades, humor y buenas noticias para tomar con el café. Buen provecho!</t>
  </si>
  <si>
    <t>https://www.facebook.com/coffeebreak.com.es</t>
  </si>
  <si>
    <t>Pablo Casado nombra a Fátima Báñez, nueva presidenta de la Comisión de Exteriores en el Congreso. Y, a Antonio González Terol, nuevo miembro de la Diputación Permanente como representante del PP</t>
  </si>
  <si>
    <t>Jorge Ibáñez</t>
  </si>
  <si>
    <t>Dice Cosidó que se siente respaldado por Pablo Casado, no debe pillar las indirectas el hombre : La dirección del PP abre la puerta de salida a Ignacio Cosidó -</t>
  </si>
  <si>
    <t>https://www.eldiario.es/politica/PP-Cosido-implicacion-Kitchen-CGPJ_0_837816456.html</t>
  </si>
  <si>
    <t>Cervera de Pisuerga</t>
  </si>
  <si>
    <t>Historiador y socialista</t>
  </si>
  <si>
    <t>https://www.instagram.com/jid93/</t>
  </si>
  <si>
    <t>Jose Luis Calvo</t>
  </si>
  <si>
    <t>Doctor en Derecho. Abogado y Graduado Social. Profesor Titular de Derecho Administrativo. Estudioso y analista de las cuestiones sociales y laborales</t>
  </si>
  <si>
    <t>Frikadas</t>
  </si>
  <si>
    <t>https://ift.tt/2TuP9ip</t>
  </si>
  <si>
    <t>Twits frikis, increibles o para reir un poco.</t>
  </si>
  <si>
    <t>Gabriel Esteban</t>
  </si>
  <si>
    <t>https://ift.tt/2TuP9ip
https://ift.tt/2Q7RSPX</t>
  </si>
  <si>
    <t>Trabajo en Perpetuall como manager de customer satisfaction. Si tienes alguna duda mandame un mensaje e intenteremos resolverlo.</t>
  </si>
  <si>
    <t>https://ift.tt/2PGZf1E</t>
  </si>
  <si>
    <t>La Voz del Becario</t>
  </si>
  <si>
    <t>Ciudadanos pide aplicar el 155 en Andalucia “o volverá a ganar el PSOE” "Pablo Casado nos ha dado el sí, a cualquier 155, donde sea"</t>
  </si>
  <si>
    <t>Las noticias más divertidas que no encontrarás en otro sitio Estamos también en Facebook, Instagram, Telegram y en la radio con @Frank_Blanco en @telavasaganar</t>
  </si>
  <si>
    <t>http://www.lavozdelbecario.es</t>
  </si>
  <si>
    <t>Inmoavery.com</t>
  </si>
  <si>
    <t>Pablo Casado alerta de los peligros del populismo y pone como ejemplo lo "rápido" que llegó a Venezuela:</t>
  </si>
  <si>
    <t>https://okdiario.com/espana/2018/11/20/casado-alerta-peligros-del-populismo-pone-como-ejemplo-lo-rapido-que-llego-venezuela-3371105#.W_QFAjOfQRI.twitter</t>
  </si>
  <si>
    <t>Marbella . España .</t>
  </si>
  <si>
    <t>*Información especializada en general .ESPAÑA 1º.</t>
  </si>
  <si>
    <t>http://www.inmoavery.com</t>
  </si>
  <si>
    <t>Pablo Casado sabía lo de Cosidó, es más lo avaló ! Debe dimitir Cosidó ! , ¿pero y @pablocasado_ ? Aaa, ya sé , lo decide el TS! Vergüenza de democracia! @PPopular</t>
  </si>
  <si>
    <t>https://pbs.twimg.com/media/DscpXoKXgAU4H2h.jpg</t>
  </si>
  <si>
    <t>gabricaxV5.4</t>
  </si>
  <si>
    <t>Pues desafío a cualquier partido político a que me envíe propaganda sin mi consentimiento. Habrán conseguido que no les vote. Así de claro: @sanchecastejon @Pablo_Iglesias_ @agarzon A Pablo Casado, Albert Rivera y a Santiago Abascal no les digo nada por razones obvias.</t>
  </si>
  <si>
    <t>Nací y vivo en Madrid Y cada vez tengo menos que decir. Esperando un amanecer de revolución que no termina de llegar. Maldita sea mi estampa.</t>
  </si>
  <si>
    <t>Licenciada en Derecho y en Geografia e Historia. Militante PSOE y de UGT.</t>
  </si>
  <si>
    <t>Santiago Perez Lopez</t>
  </si>
  <si>
    <t>Pablo Casado ha anunciado la adopción de una medida que comparto plenamente. Romper el pacto con el PSOE para elegir el Consejo General del Poder Judicial, volviendo al Espíritu y a los orígenes establecidos en el artículo 122 de la Constitución</t>
  </si>
  <si>
    <t>https://pbs.twimg.com/media/DscoucJXQAAENEv.jpg</t>
  </si>
  <si>
    <t>Vicepresidente 1º de la Comisión de Cultura. Portavoz Adjunto de Educación GPP. Vocal C.Mixta para el estudio de las drogas. Doctor en Ha. Prof. Secundaria</t>
  </si>
  <si>
    <t>http://www.gppopular.es/diputados/santiago-perez-lopez/</t>
  </si>
  <si>
    <t>El presidente del Partido Popular, Pablo Casado, ha alertado este martes de los peligros del populismo y ha puesto como...</t>
  </si>
  <si>
    <t>https://okdiario.com/espana/2018/11/20/casado-alerta-peligros-del-populismo-pone-como-ejemplo-lo-rapido-que-llego-venezuela-3371105#.W_QD7ygkC24.facebook</t>
  </si>
  <si>
    <t>pressdigital</t>
  </si>
  <si>
    <t>Cosidó señala que no se ha planteado dimitir y se siente respaldado por Pablo Casado</t>
  </si>
  <si>
    <t>https://ift.tt/2S2GphU</t>
  </si>
  <si>
    <t>Diario digital plural e independiente donde puedes informarte y participar. Síguenos en Facebook: https://www.facebook.com/pressdigitalteinforma</t>
  </si>
  <si>
    <t>http://www.pressdigital.es/</t>
  </si>
  <si>
    <t>Patricia López 💜</t>
  </si>
  <si>
    <t>Están las cosas del abuelo, que diría Pablo Casado, y las del bisabuelo de Luis Alfonso de Borbón #20N #franquismo</t>
  </si>
  <si>
    <t>https://pbs.twimg.com/media/DscoEKyWoAEGq0-.jpg</t>
  </si>
  <si>
    <t>Investigo en @publico_es y comento en @TraslapistaTM @LaMananaTVE y @FAQSTV3 Autora de Crímenes sin resolver, El secreto de Bretón y El rastro del asesino.</t>
  </si>
  <si>
    <t>Mikel Gómez Garcia</t>
  </si>
  <si>
    <t>Pablo Casado pone el constitucionalismo estado unidense como la cuna y origen del constitucionalismo en todo el mundo. ¿Pero este ya fue a alguna clase de derecho?</t>
  </si>
  <si>
    <t>Soy un consultor político vasco. Cofundador de @NetPolitikcp</t>
  </si>
  <si>
    <t>https://netpolitik.wordpress.com/</t>
  </si>
  <si>
    <t>Lucio Recalde Zarat.</t>
  </si>
  <si>
    <t>Alguien que me mire como en estos momentos la portavoz del PP en el Congreso a Pablo Casado. #porfa</t>
  </si>
  <si>
    <t>Formación de Adultos. Ahorro e invierto. Poder y política NO, gracias. Contrarian. Pamplona.</t>
  </si>
  <si>
    <t>http://www.luciorecalde.com</t>
  </si>
  <si>
    <t>Némesis</t>
  </si>
  <si>
    <t>Estados Unidos es "la cuna de las construcciones". Cada vez que Pablo Casado habla se nota que ha cursado la licenciatura y el máster.</t>
  </si>
  <si>
    <t>De Las Nadies de toda la vida. El cine regala pequeños fragmentos de vida que nunca olvidarás (Fellini en 'Amarcord').</t>
  </si>
  <si>
    <t>Charly Sin</t>
  </si>
  <si>
    <t>¿independencia de poderes? 🤔🤔. ¿Controlar el supremo? ¿Puerta de atrás? Cosidó descarta dimitir tras la renuncia de Marchena y se siente respaldado por Pablo Casado @elmundoes</t>
  </si>
  <si>
    <t>http://www.elmundo.es/espana/2018/11/20/5bf3eb5022601d317c8b45a2.html</t>
  </si>
  <si>
    <t>En España ¿donde si no?</t>
  </si>
  <si>
    <t>Hartito estoy, ¿pero no pueden ser normales?. Ante todo, sentido común.</t>
  </si>
  <si>
    <t>Morbix</t>
  </si>
  <si>
    <t>¿Te imaginas que cada vez que El Español va a nombrar a Pablo Casado, Bertín Osborne, Xabier G. Albiol o Albert Rivera pone delante lo de "el machista..."? RT @elespanolcom: La feminista Leticia Dolera reconoce que despidió a Aina Clotet por estar embarazada</t>
  </si>
  <si>
    <t>https://twitter.com/elespanolcom/status/1064543823517356032
https://www.elespanol.com/cultura/series/20181119/feminista-leticia-dolera-reconoce-aina-clotet-embarazada/354465062_0.html</t>
  </si>
  <si>
    <t>Hacer el teorema de Pitágoras con las piernas para la fotito de Instagram or die. Hago viñetas. https://www.instagram.com/morbixx/</t>
  </si>
  <si>
    <t>http://morbixx.tumblr.com/</t>
  </si>
  <si>
    <t>SANDALIO CARMONA</t>
  </si>
  <si>
    <t>Cosidó descarta dimitir tras la renuncia de Marchena y se siente respaldado por Pablo Casado  via @elmundoes</t>
  </si>
  <si>
    <t>miami</t>
  </si>
  <si>
    <t>share links or re-tweet a fellow Tweeters useful link.</t>
  </si>
  <si>
    <t>Diario de Noticias</t>
  </si>
  <si>
    <t>Cosidó no se plantea dimitir y se siente respaldado por Pablo Casado</t>
  </si>
  <si>
    <t>https://www.noticiasdenavarra.com/2018/11/20/politica/estado/cosido-no-ha-plantea-dimitir-y-se-siente-respaldado-por-pablo-casado-</t>
  </si>
  <si>
    <t>Pamplona, Navarra</t>
  </si>
  <si>
    <t>Edición online del periódico Diario de Noticias de Navarra. Última hora y noticias más destacadas. El periódico de todos los navarros. Nafar guztion egunkaria</t>
  </si>
  <si>
    <t>http://www.noticiasdenavarra.com</t>
  </si>
  <si>
    <t>María José Artuch</t>
  </si>
  <si>
    <t>Periodista de Europa Press en Madrid</t>
  </si>
  <si>
    <t>Ignacio Cosidó PPopular no se plantea dimitir y se siente respaldado por Pablo Casado</t>
  </si>
  <si>
    <t>http://bit.ly/2A7mB5M</t>
  </si>
  <si>
    <t>https://pbs.twimg.com/media/DscjFp4WkAUBXs8.jpg</t>
  </si>
  <si>
    <t>expansioncom</t>
  </si>
  <si>
    <t>Ignacio Cosidó @PPopular no se plantea dimitir y se siente respaldado por Pablo Casado</t>
  </si>
  <si>
    <t>https://pbs.twimg.com/media/Dsci2FDXcAA5tEg.jpg</t>
  </si>
  <si>
    <t>Diario Expansión, líder en información económica. También puedes seguirnos en Facebook http://www.facebook.com/Expansion.com #mercados #economía #empresas</t>
  </si>
  <si>
    <t>http://www.expansion.com</t>
  </si>
  <si>
    <t>Expansión Economía</t>
  </si>
  <si>
    <t>https://pbs.twimg.com/media/Dsci2D8WwAEuE4c.jpg</t>
  </si>
  <si>
    <t>Cuenta oficial de la sección de Economía &amp; Política del diario @expansioncom.</t>
  </si>
  <si>
    <t>Agustín Millán</t>
  </si>
  <si>
    <t>Cosidó: “Me siento plenamente respaldado por Pablo Casado”. El senador culpa de la filtración del mensaje de WhatsApp al Gobierno y pide la dimisión de la ministra de Justicia. … vía @diario_16 @AgustnMilln</t>
  </si>
  <si>
    <t>http://diario16.com/cosido-me-sien</t>
  </si>
  <si>
    <t>https://pbs.twimg.com/media/DsciwncW0AAeG45.jpg</t>
  </si>
  <si>
    <t>Fotógrafo profesional y periodista en @Diario_16 Siempre al lado de la noticia.</t>
  </si>
  <si>
    <t>http://www.agustin-millan.photos</t>
  </si>
  <si>
    <t>Somos de mujer</t>
  </si>
  <si>
    <t>Gobierno Periodistas Periódicos Política Política y Gobierno Prensa</t>
  </si>
  <si>
    <t>Cumbre Social</t>
  </si>
  <si>
    <t>La movilización continúa: una respuesta simétrica a una política que perjudica a la inmensa mayoría de la población</t>
  </si>
  <si>
    <t>https://socialcumbre.blogspot.com.es/</t>
  </si>
  <si>
    <t>LaGatadeSevilla</t>
  </si>
  <si>
    <t>Lucho para lograr un mundo mejor correteando por las calles de Sevilla</t>
  </si>
  <si>
    <t>Paula Churches</t>
  </si>
  <si>
    <t>Cosidó no se plantea dimitir y asegura que se siente respaldado por Pablo Casado</t>
  </si>
  <si>
    <t>https://ift.tt/2BkIYX8</t>
  </si>
  <si>
    <t>Coletilandia</t>
  </si>
  <si>
    <t>Presentadora agitadora de masas podemitas. Modelo, actriz, ex ojo de GH.</t>
  </si>
  <si>
    <t>Diario16</t>
  </si>
  <si>
    <t>Cosidó: “Me siento plenamente respaldado por Pablo Casado”. El senador culpa de la filtración del mensaje de WhatsApp al Gobierno y pide la dimisión de la ministra de Justicia.  vía @diario_16 @AgustnMilln</t>
  </si>
  <si>
    <t>https://pbs.twimg.com/media/DscidPVXgAA7iY8.jpg</t>
  </si>
  <si>
    <t>Diario 16 Digital. Análisis, opinión, actualidad y más. Facebook: https://www.facebook.com/Diario16/ Telegram: https://t.me/Diario16Info</t>
  </si>
  <si>
    <t>http://www.diario16.com</t>
  </si>
  <si>
    <t>VapeoChisgarabis</t>
  </si>
  <si>
    <t>MÉTODO RAJOY? Cosidó: “Me siento plenamente respaldado por Pablo Casado” ¿Quién te cogió el móvil, criatura?? El senador culpa de la filtración del mensaje de WhatsApp al Gobierno y pide la dimisión de la ministra de Justicia  vía @diario_16</t>
  </si>
  <si>
    <t xml:space="preserve">ubicada </t>
  </si>
  <si>
    <t>El problema no estriba en como meterse en la cabeza ideas nuevas e innovadoras. sino en como sacar de ella las viejas ideas</t>
  </si>
  <si>
    <t>Moonspell</t>
  </si>
  <si>
    <t>Es Pablo Casado el Trump español?</t>
  </si>
  <si>
    <t>verdes praderas de Alderaan</t>
  </si>
  <si>
    <t>Frikaza 🎲🎮, Feminista🚺, Estudiante🔦 Esta es mi cuenta personal, no joderme http://youtube.com/user/Bloodmoon……</t>
  </si>
  <si>
    <t>https://www.twitch.tv/bloodmoonspell</t>
  </si>
  <si>
    <t>Fray Josepho</t>
  </si>
  <si>
    <t>La sátira de Libertad Digital. También en @eslatarde de @esradio.</t>
  </si>
  <si>
    <t>http://www.libertaddigital.com/opinion/fray-josepho/</t>
  </si>
  <si>
    <t>raul rodriguez</t>
  </si>
  <si>
    <t>.@rosamariaartal Hemeroteca: 1) Pablo Casado 12/11/2018 y 2) El PP 20/11/2018. ¿Dolores Delgado no era la ministra el día 12?</t>
  </si>
  <si>
    <t>https://pbs.twimg.com/media/DscgP4QXgAEjzKQ.jpg</t>
  </si>
  <si>
    <t>TrueNewsD</t>
  </si>
  <si>
    <t>http://bit.ly/2Q5INaF</t>
  </si>
  <si>
    <t>https://pbs.twimg.com/media/Dscfp5LU8AE0Oqz.jpg</t>
  </si>
  <si>
    <t>Todas Tus Noticias en un solo lugar #TecnologiaIA #VivaVenezuela</t>
  </si>
  <si>
    <t>https://truenewsd.com/</t>
  </si>
  <si>
    <t>Esta mañana celebramos reunión de grupo con nuestro presidente Pablo Casado</t>
  </si>
  <si>
    <t>https://pbs.twimg.com/media/DscfiKjWwAAfrC-.jpg</t>
  </si>
  <si>
    <t>Navarra</t>
  </si>
  <si>
    <t>javier hidalgo</t>
  </si>
  <si>
    <t>¿ Es Pablo Casado un demócrata ?</t>
  </si>
  <si>
    <t>Ser lo que quiero ser. lector sin pedir perdón. escuchador sin reparos. buscador de sueños. hacedor de realidades.</t>
  </si>
  <si>
    <t>naiz:</t>
  </si>
  <si>
    <t>Cosidó señala que no se ha planteado dimitir y se siente «respaldado» por Pablo Casado</t>
  </si>
  <si>
    <t>https://www.naiz.eus/eu/actualidad/noticia/20181120/cosido-senala-que-no-se-ha-planteado-dimitir-y-se-siente-respaldado-por-pablo-casado</t>
  </si>
  <si>
    <t>https://pbs.twimg.com/media/DscefuzWkAA7HNb.jpg</t>
  </si>
  <si>
    <t>Euskal Herriko hedabidea. Kontu honen bidez batez ere azken orduko albisteak jasoko dituzu.</t>
  </si>
  <si>
    <t>http://www.naiz.eus</t>
  </si>
  <si>
    <t>Francisco Franco</t>
  </si>
  <si>
    <t>Qué pena que se uniera el Frente Popular y echara al PP del poder, con lo bien que iban. A ver si hacéis presidente a Pablo Casado, que al paso que iban ya estaban a punto de declarar de nuevo el 20-N festivo nacional.</t>
  </si>
  <si>
    <t>El Purgatorio (Tuiter)</t>
  </si>
  <si>
    <t>General de los tres Ejércitos y Caudillo de España por la Gracia de Dios. No me faltan huevos (bueno, sí, uno)</t>
  </si>
  <si>
    <t>http://es.favstar.fm/users/elcaudillisimo</t>
  </si>
  <si>
    <t>Antena3Noticias</t>
  </si>
  <si>
    <t>VÍDEO | Tras conocerse su mensaje de Whatsapp, Cosidó no se plantea dimitir y dice sentirse respaldado por Pablo Casado ▶</t>
  </si>
  <si>
    <t>http://atres.red/3wqqk1</t>
  </si>
  <si>
    <t>Toda la actualidad en http://www.antena3.com/noticias/</t>
  </si>
  <si>
    <t>http://www.antena3.com/noticias/</t>
  </si>
  <si>
    <t>Mientras tengan el respaldado de su "partido, lo demás, se la suda.  vía .@epnacional</t>
  </si>
  <si>
    <t>Ramón Cotarelo</t>
  </si>
  <si>
    <t>La mafia judicial que protege a la banda de ladrones en apuros por sus golferías</t>
  </si>
  <si>
    <t>Girona, Catalunya.</t>
  </si>
  <si>
    <t>Mi bio aparece en mi página web (ver más abajo) y mi blog Palinuro: http://www.cotarelo.blogspot.com. Gracias mil.</t>
  </si>
  <si>
    <t>http://ramoncotarelo.com</t>
  </si>
  <si>
    <t>Confidencial Digital</t>
  </si>
  <si>
    <t>http://somosecd.com/a0bkm4</t>
  </si>
  <si>
    <t>+34 91 445 96 97 Madrid, Spain</t>
  </si>
  <si>
    <t>El twitter de las personas informadas que desean estar más informadas. http://somosecd.com/8m0gl socios@elconfidencialdigital.com</t>
  </si>
  <si>
    <t>http://www.elconfidencialdigital.com/</t>
  </si>
  <si>
    <t>https://ift.tt/2Fsgwqu</t>
  </si>
  <si>
    <t>#Política | Cosidó: “Me siento plenamente respaldado por Pablo Casado” Por Agustín Millán</t>
  </si>
  <si>
    <t>Miguel Garcia</t>
  </si>
  <si>
    <t>Luis Navajas, teniente fiscal del Tribunal Supremo, que pidió el archivo del caso Master de Pablo Casado ha sido denunciado por pedir el archivo del “asunto de la hija de Marchena”,  vía @diario_16</t>
  </si>
  <si>
    <t>Montseny, Catalunya</t>
  </si>
  <si>
    <t>Nacido catalán por casualidad, y hecho independentista por dignidad gracias a MR y sus muchach@s</t>
  </si>
  <si>
    <t>http://estoyhastalasnarices.com</t>
  </si>
  <si>
    <t>Fernando Delgado</t>
  </si>
  <si>
    <t>Pablo Casado (año 2019, Siglo XXI): "Nosotros no colonizábamos, hacíamos una España más grande"</t>
  </si>
  <si>
    <t>pic.twitter.com/dVLHKSaQOc</t>
  </si>
  <si>
    <t>Garrapatero.....</t>
  </si>
  <si>
    <t>Laura Díaz Canchado</t>
  </si>
  <si>
    <t>Gran Wyoming: "Pablo Casado es como la homeopatía, no hay estudios que lo avalen".</t>
  </si>
  <si>
    <t>No quiero etiquetas porque lo diferente no es incompatible.</t>
  </si>
  <si>
    <t>Momo PG</t>
  </si>
  <si>
    <t>#SupremoPlantonARV Acabo de echar un vistazo al currículum de Pablo Casado. El jo...o, salvo error, no ha trabajado nunca. Le auguro gran futuro en Sálvame.</t>
  </si>
  <si>
    <t>Política y Gobierno</t>
  </si>
  <si>
    <t>el_uron</t>
  </si>
  <si>
    <t>Cospedal, Cosido... y lo que vendrá. Pablo Casado, la regeneración del PP. Ja ja ja ja #supremoplantonarv</t>
  </si>
  <si>
    <t>Chema Clavero</t>
  </si>
  <si>
    <t>Denunciado el fiscal que pidió el archivo de caso máster de Casado. La denuncia actual ha sido por pedir el archivo del caso de la hija de Marchena Cosido y bien cosido</t>
  </si>
  <si>
    <t>http://diario16.com/denunciado-fiscal-pidio-archivo-del-caso-master-pablo-casado/?fbclid=IwAR2eP-ei1w3DXBoY_CHyx8kGhw-PfCOvXdP0xJdOPvPhcmQtanUi9nAvNFs</t>
  </si>
  <si>
    <t>Catalán de Huesca. Indepe. Lucha social. Nunca entro en guerras perdidas de antemano.</t>
  </si>
  <si>
    <t>Esteban Gámez</t>
  </si>
  <si>
    <t>https://pbs.twimg.com/media/DscXr0FXQAAIWKh.jpg</t>
  </si>
  <si>
    <t>Profesional del medio, apasionado de las nuevas tecnologías y de la tierra Asturiana</t>
  </si>
  <si>
    <t>bernabot</t>
  </si>
  <si>
    <t>Pablo Casado y comunismo como el que algún sitio al vacío en La trampa de El tiempo pervertido de la HBO</t>
  </si>
  <si>
    <t>http://dlvr.it/QrgYyF</t>
  </si>
  <si>
    <t>https://pbs.twimg.com/media/DscXatjU8AMsxdm.jpg</t>
  </si>
  <si>
    <t>Me parece mal que Pablo Casado diga que no intentaban colonizar los españoles sino hacer una España más libre, pero al mismo tiempo me parece mal la gente hipócrita que argumentaba que Rajoy no sabía gobernar y que daba vergüenza tenerlo de presidente y</t>
  </si>
  <si>
    <t xml:space="preserve">Pontevedra. </t>
  </si>
  <si>
    <t>Juan Jara</t>
  </si>
  <si>
    <t>🛑EL PRESIDENTE DEL PARTIDO POPULAR PABLO CASADO SE COMPROMETE CON STOP SUCESIONES A SUPRIMIR EL IMPUESTO A LAS HERENCIAS EN TODA ESPAÑA  Ayer un día grande para los españoles... EMPIEZA LA RECONQUISTA DE LA CLASE MEDIA ESPAÑOLA: Autónomos, emprendedores..</t>
  </si>
  <si>
    <t>De camino al Cielo...</t>
  </si>
  <si>
    <t>Hombre Catolico: Español y Padre // Medicina y Gestión // Lucho por la Vida Humana y por España! // Activista civil por las Libertades Públicas y la Democracia</t>
  </si>
  <si>
    <t>ildevillar</t>
  </si>
  <si>
    <t>#SupremoPlantonARV Pablo Casado político de academia,no es brillante académico,no es líder de nada,no es más que un ambicioso de poder en manos de buitres pperos y que tiene un problema que no es otro que su ignorancia de todo.Eso si siempre con una sonrisa muy Aznariana.</t>
  </si>
  <si>
    <t>Si Pablo Casado no obliga a Cosidó a dimitir, demuestra ser tan irresponsable como él, políticos así no merecen el respeto de los españoles, la indecencia en el PP sigue cabalgando.</t>
  </si>
  <si>
    <t>Afirma que seguirá al frente del PP en el Senado mientras tenga la confianza de su grupo parlamentario y de Pablo Casado y enmarca sus mensajes en el ámbito personal @inakipardot</t>
  </si>
  <si>
    <t>https://www.lavanguardia.com/politica/20181120/453065521575/cosido-no-dimitir-ningun-momento-culpa-gobierno-manuel-marchena-acuerdo-roto-cgpj-poder-judicial.html?utm_source=twitter_lv&amp;utm_medium=social</t>
  </si>
  <si>
    <t>🔴 Pablo Montesinos: "Pablo Casado y Cosidó han hablado en las últimas horas" #SupremoPlantónARV | DIRECTO ➡</t>
  </si>
  <si>
    <t>http://atres.red/4ncii5663</t>
  </si>
  <si>
    <t>https://pbs.twimg.com/media/DscVODaWsAYtwOA.jpg</t>
  </si>
  <si>
    <t>Ser Socialista es una opción, pero la gestión de la Junta de Andalucía, te hace replantearte muchas cosas</t>
  </si>
  <si>
    <t>Ramón Miranda Torres</t>
  </si>
  <si>
    <t>Aragón-España(Huesca-Zaragoza)</t>
  </si>
  <si>
    <t>La duda es mi más fiel compañera.De Izquierdas y Socialista.Si tengo que elegir elíjo transgredir. Ciudadano del mundo</t>
  </si>
  <si>
    <t>http://ramonesmiranda.wordpress.com</t>
  </si>
  <si>
    <t>AlRojoVivo</t>
  </si>
  <si>
    <t>Un debate plural donde caben las opiniones y sugerencias de todos. De lunes a viernes, a las 11 horas, en @laSextaTV</t>
  </si>
  <si>
    <t>http://www.lasexta.com/programas/al-rojo-vivo/</t>
  </si>
  <si>
    <t>STOPSucesionesPRENSA 🛑</t>
  </si>
  <si>
    <t>🛑EL PRESIDENTE @PPopular @pablocasado_, SE COMPROMETE CON STOP SUCESIONES A SUPRIMIR EL IMPUESTO A LAS HERENCIAS EN TODA ESPAÑA. "EL IMPUESTO DE SUCESIONES -MUERTE TIENE LOS DÍAS CONTADOS." @TaboadaEligio "La solución está en España" #StopSucesiones</t>
  </si>
  <si>
    <t>Cuenta Oficial de Prensa de STOPSucesiones 🌐 AYÚDANOS A AYUDARTE 👥Donaciones La Caixa: ES92 2100 2686 7102 1029 0226 📧info@stopsucesiones.org ☎️605575524</t>
  </si>
  <si>
    <t>StopSucesionesCastillayLeón 🛑</t>
  </si>
  <si>
    <t>Cuenta oficial de @stopsucesiones en Castilla y León-Por la Supresión del Impuesto de Sucesiones y Donaciones. valladolid@stopsucesiones.org Teléfono: 605575524</t>
  </si>
  <si>
    <t>#STOPSucesionesAragón</t>
  </si>
  <si>
    <t>Por la Supresión del Impuesto de Sucesiones. AYÚDANOS A AYUDARTE 👥Donaciones La Caixa: ES92 2100 2686 7102 1029 0226 📧aragon@stopsucesiones.org ☎️605575524</t>
  </si>
  <si>
    <t>StopSucesionesEXTREMADURA 🛑</t>
  </si>
  <si>
    <t>Por la Supresión del Impuesto de Sucesiones AYÚDANOS A AYUDARTE 👥Donaciones La Caixa:ES92 2100 2686 7102 1029 0226 📧Extremadura@stopsucesiones.org ☎️605575524</t>
  </si>
  <si>
    <t>Alexandra</t>
  </si>
  <si>
    <t>Se siente respaldado por Pablo Casado, o por la amenaza/chantaje que muy probablemente pesa sobre Casado y este pájaro conoce? RT @elmundoes: El portavoz del PP en el Senado, Ignacio Cosidó descarta dimitir tras la renuncia de Marchena y se siente respaldado por Pablo Casado.</t>
  </si>
  <si>
    <t>https://twitter.com/elmundoes/status/1064838520718663680
https://trib.al/rOkL8aR</t>
  </si>
  <si>
    <t>🏳️‍🌈Rubén López🏳️‍🌈</t>
  </si>
  <si>
    <t>Ignacio Cosidó no dimite: “Me siento plenamente respaldado por mi grupo[el PP] y por mi presidente[Pablo Casado] ”</t>
  </si>
  <si>
    <t>Talavera- Madrid- Almería</t>
  </si>
  <si>
    <t>Socialdemócrata,gay,feminista,culé y talaverano. Ing.Teleco trabajo de volcanólogo.Lic.Derecho.Ejecutiva @Arcopoli,Director @ObsmadLGTB e Internacional @FELGTB</t>
  </si>
  <si>
    <t>https://ift.tt/2OQcQyk</t>
  </si>
  <si>
    <t>Wikerman Alejo</t>
  </si>
  <si>
    <t>Cosidó descarta dimitir tras la renuncia de Marchena y se siente respaldado por Pablo Casado  vía @elmundoes #España 🇪🇸</t>
  </si>
  <si>
    <t>Venezolano🇻🇪Español 🇪🇸Madridista1️⃣3️⃣🏆Journalist📰 Padre👨‍👦‍👦🐶</t>
  </si>
  <si>
    <t>EL MUNDO</t>
  </si>
  <si>
    <t>El portavoz del PP en el Senado, Ignacio Cosidó descarta dimitir tras la renuncia de Marchena y se siente respaldado por Pablo Casado.</t>
  </si>
  <si>
    <t>https://trib.al/rOkL8aR</t>
  </si>
  <si>
    <t>Cuenta oficial de EL MUNDO -YouTube http://bit.ly/2hBbolJ Bruselas se prepara para certificar el divorcio con el Reino Unido. (📷John Thys)</t>
  </si>
  <si>
    <t>http://www.elmundo.es/</t>
  </si>
  <si>
    <t>Hacemos una porra a ver si Pablo Casado consigue llegar como candidato a las generales? Sospecho que igual que se filtró el WhatsApp de Cosidó podrían empezar a aflorar ingentes cantidades de mierda. Como pasó antes con Cifuentes, Cospedal, Aguirre...</t>
  </si>
  <si>
    <t>jmlluis</t>
  </si>
  <si>
    <t>Así es Pablo Casado Blanco, no importa que en el 2016 la Generalitat denunciase a Adif (gobierno de España) por un incumplimiento del 60% de las inversiones, envia sus condolencias y se queda con su cara de hiena a seguir llamándonos violentos por recibir porrazos de sus sicarios</t>
  </si>
  <si>
    <t>https://pbs.twimg.com/media/DscPWaPWkAAYl-7.jpg</t>
  </si>
  <si>
    <t>on my way</t>
  </si>
  <si>
    <t>Víctor Javier</t>
  </si>
  <si>
    <t>Pablo Casado “Facholín”, en la clase práctica para el máster en Populismo...</t>
  </si>
  <si>
    <t>https://pbs.twimg.com/media/DscPSzIXcAA5rV8.jpg</t>
  </si>
  <si>
    <t>Madrid/Santander</t>
  </si>
  <si>
    <t>Oh vosotros los que entráis, abandonad toda esperanza...' (Dante. La Divina Comedia)</t>
  </si>
  <si>
    <t>http://www.victorjaviercavia.es</t>
  </si>
  <si>
    <t>Andrea Mingorance</t>
  </si>
  <si>
    <t>Y Cosidó descarta dimitir mientras mantenga la confianza de Pablo Casado y del grupo parlamentario del PP pese a las peticiones de los otros grupos del Senado.</t>
  </si>
  <si>
    <t>Periodista especializada en política. Eterna aprendiz. Una canaria por Madrid.</t>
  </si>
  <si>
    <t>Angel C. de Rivas</t>
  </si>
  <si>
    <t>¿ESTE NAVAJERO NO DEBERÍA SER INVESTIGADO? … YO NO ENTIENDO DE LEYES … PERO A MI ME PARECE QUE ESTE INDIVIDUO ANDA MEDRANDO POR LOS DESPACHOS DE JUSTICIA LAMIENDO LAS SUELAS DE LOS ZAPATOS DE...</t>
  </si>
  <si>
    <t>Me he pasado veinte minutos mirando como una mosca se frotaba las patas ... ME PARECE INCREÍBLE CON QUE TONTERÍAS SE ENTRETIENEN LAS MOSCAS</t>
  </si>
  <si>
    <t>http://elrincndedonnadie.blogspot.com</t>
  </si>
  <si>
    <t>Josep M Vergés</t>
  </si>
  <si>
    <t>Denunciado el Fiscal que pidió el archivo del caso Máster de Pablo Casado</t>
  </si>
  <si>
    <t>Igualada</t>
  </si>
  <si>
    <t>Endavant #REPÚBLICACATALANA Membre de l'ANC d'Igualada (Anoia)</t>
  </si>
  <si>
    <t>http://www.igdxindependencia.cat/</t>
  </si>
  <si>
    <t>Francisco Barrios</t>
  </si>
  <si>
    <t>Ha dicho ya algo Pablo Casado sobre si va a obligar a dimitir a Ignacio Cosidó? Y a que espera? O acaso le gusta estar rodeado de bocachanclas metepatas que no le benefician?</t>
  </si>
  <si>
    <t>toledo y madrid</t>
  </si>
  <si>
    <t>Encerrádo en mi caparazón.</t>
  </si>
  <si>
    <t>Cuando te chiva las estadísticas Pablo Casado. RT @dexamina: Nos avergonzamos por haber conquistado hace 500 años territorios en los que ahora mismo hay más de un 80% de población indígena pero Canadá, que ha estado esterilizando indígenas hasta hace 40 años en un país con un 2% de indígenas, no se autofustiga. Lógica por aquí poca.</t>
  </si>
  <si>
    <t>https://twitter.com/dexamina/status/1064632637590069249
https://twitter.com/el_pais/status/1064509346111868928</t>
  </si>
  <si>
    <t>Estocolmo, Suecia</t>
  </si>
  <si>
    <t>ONEGA MURRAY</t>
  </si>
  <si>
    <t>#FrancoHaVuelto con @PPopular "Franco es quien más comprometido ha estado con la paz en España. Era tan pacifista que inició una guerra para después poder traer la paz", asegura Pablo Casado.</t>
  </si>
  <si>
    <t>https://www.eljueves.es/news/especial-20n-%7C-pp-propone-a-franco-para-premio-nobel-paz_2836/amp?utm_source=twitter&amp;utm_medium=social&amp;utm_campaign=trafico&amp;__twitter_impression=true</t>
  </si>
  <si>
    <t>Rosario, Argentina, América ☺</t>
  </si>
  <si>
    <t>Militante del Campo Popular dsd Siempre/ Trabajador de Universidad Nacional/ Opositor a todo Gobierno Neoliberal del Mundo/ LATINOAMÉRICA LIBRE DE FACHOS/ HLVS!</t>
  </si>
  <si>
    <t>LoXEMA ( josep m.roure )</t>
  </si>
  <si>
    <t>Pablo Casado propone invadir Polonia para hacer España más grande</t>
  </si>
  <si>
    <t>Lleida  ( CATALUNYA )</t>
  </si>
  <si>
    <t>dulce y suave...</t>
  </si>
  <si>
    <t>http://loxema.es</t>
  </si>
  <si>
    <t>Carrington</t>
  </si>
  <si>
    <t>A Luis Alfonso de Borbón le ha quedado una esquela muy fascista y bien facha recordando a su abuelo, por un lado, y de paso diciendo no sé qué de los enemigos y traidores a la patria. Parafraseando a Pablo Casado: "Menudo carca con las historietas del abuelo".</t>
  </si>
  <si>
    <t>Bilbao, capital universal (y parte del extranjero)</t>
  </si>
  <si>
    <t>Acuario creativo al que un buen día le dio por juntar corcheas con negras (las blancas no querían mezclarse con nadie más) y desde entonces no ha parado 🏳️‍🌈</t>
  </si>
  <si>
    <t>elguille</t>
  </si>
  <si>
    <t>#20N muerto y bien muerto.Besis a Pablo Casado y a Santiago Abascal.</t>
  </si>
  <si>
    <t>CdV_Galicia</t>
  </si>
  <si>
    <t>Querido Pablo Casado recapacita y toma decisiones justas, no te dejes llevar por juegos políticos que te harán perder la razón. RT @libertaddigital: Casado suspende la renovación del #CGPJ "por responsabilidad". Lo cuenta @montesinospablo</t>
  </si>
  <si>
    <t>https://twitter.com/libertaddigital/status/1064820216511823877
http://bit.ly/2Bk30kB</t>
  </si>
  <si>
    <t>https://pbs.twimg.com/media/DscAM1uXoAEyAQF.jpg</t>
  </si>
  <si>
    <t>Asociación en defensa de las ideas del liberalismo. Libertad sin complejos. Su fe se encuentra en el gobierno, la nuestra en la humanidad.</t>
  </si>
  <si>
    <t>Metiendo bulla: Las violetas imperiales de Pablo Casado</t>
  </si>
  <si>
    <t>https://lopezbulla.blogspot.com/2018/11/las-violetas-imperiales-de-pablo-casado.html?spref=tw</t>
  </si>
  <si>
    <t>Manuel Mir Cruañes</t>
  </si>
  <si>
    <t>``INCIVICO-PABLO CASADO´´.DERRIBADOR DE``VERJAS´´.PARA INVADIR``DEMOCRACIAS´´.QUITADOR DE LAZOS AMARILLOS,ACUSADOR DE``GOLPISTA´´,A UN``PRESIDENTE DEMOCRATICO´´.AVALADO POR SU``CONSTITUCION´´.Y PROVOCADOR.POR OLVIDAR A LOS``GOLPISTAS DEL 36.´´,QUE AJUSTICIARON A SU``ABUELO´´. OK.</t>
  </si>
  <si>
    <t>Alejandro Lozano</t>
  </si>
  <si>
    <t>Los políticos cada vez decepcionan antes. Tan sólo unos meses y Pablo Casado ya es uno más. Los hechos lo van confirmando. RT @lexlozanos: Con los políticos hay que tener las expectativas bajas, por muy emotivo que sea el discurso. Esperemos a los hechos.</t>
  </si>
  <si>
    <t>https://twitter.com/lexlozanos/status/1020649946662522880</t>
  </si>
  <si>
    <t>Roquetas de Mar, Almería</t>
  </si>
  <si>
    <t>Educación financiera para una vida plena y feliz</t>
  </si>
  <si>
    <t>https://www.asesorfinancieropersonal.com/</t>
  </si>
  <si>
    <t>"Los españoles no colonizaban, hacían España más grande" Pablo Casado #FelizMartes Marchena 20-N  vía @YouTube</t>
  </si>
  <si>
    <t>https://youtu.be/VY3DElL-1I4</t>
  </si>
  <si>
    <t>Tanto Luis Navajas, como Marchena, Llarena y la mujer de éste, deberían ser investigados. Denunciado el Fiscal que pidió el archivo del caso Máster de Pablo Casado  vía @diario_16</t>
  </si>
  <si>
    <t>Anabel Alonso destroza a Pablo Casado en Twitter con una mofa | Eco Republicano | Diario República Española</t>
  </si>
  <si>
    <t>Está claro que causas justas como el feminismo son, para algunos, una simple manera de medrar y hacer negocio. RT @ainaclotet: Comunicado de Aina Clotet</t>
  </si>
  <si>
    <t>https://twitter.com/ainaclotet/status/1064790581593935872</t>
  </si>
  <si>
    <t>https://pbs.twimg.com/media/DsbiY6fXQAAsPBc.jpg</t>
  </si>
  <si>
    <t>Flor María Fernández</t>
  </si>
  <si>
    <t>El ‘Alea iacta est’ de Pablo Casado  vía @voz_opinion</t>
  </si>
  <si>
    <t>https://www.vozpopuli.com/_47092341</t>
  </si>
  <si>
    <t>Asturias ,Aviles.</t>
  </si>
  <si>
    <t>ESPAÑOLA. ASTURIANA DE AVILÉS.CATOLICA. ORGULLOSA DE SER ESPAÑOLA.</t>
  </si>
  <si>
    <t>Juan Casado</t>
  </si>
  <si>
    <t>Que Pablo #Casado y Felipe Gonzalez están del mismo lado (el de la derecha) no es ninguna novedad... #LaCafeteraAgalopar #CasadoRivera  vía @eldiarioes</t>
  </si>
  <si>
    <t>https://www.eldiario.es/_31eabae9</t>
  </si>
  <si>
    <t>Investigador e inventor. Doctor en Ciencias por la @UABBarcelona. Previsiones políticas. Noticias científicas y de impacto social. ✊Si me sigues te sigo.</t>
  </si>
  <si>
    <t>https://www.researchgate.net/profile/Juan_Casado2</t>
  </si>
  <si>
    <t>Víctor Zurita 🇪🇸</t>
  </si>
  <si>
    <t>Tras el mayúsculo escándalo por el reparto abyecto del Poder Judicial, Pablo Casado se ve obligado a rectificar y suspende “por responsabilidad” la renovación del CGPJ. Esperpentico bochorno de graves consecuencias para su liderazgo que resulta muy tocado.🇪🇸</t>
  </si>
  <si>
    <t>https://pbs.twimg.com/media/Dsb9SGyXcAAbt4F.jpg</t>
  </si>
  <si>
    <t>Elecciones Generales ya 🇪🇸</t>
  </si>
  <si>
    <t>HuelvaBuenasNoticias</t>
  </si>
  <si>
    <t>El líder del Partido Popular Pablo Casado visita Huelva</t>
  </si>
  <si>
    <t>http://huelvabuenasnoticias.com/2018/11/20/el-lider-del-partido-popular-pablo-casado-visita-huelva/</t>
  </si>
  <si>
    <t>Huelva Buenas Noticias es un medio de comunicación digital de la provincia de Huelva que aborda la actualidad desde un punto de vista diferente.</t>
  </si>
  <si>
    <t>http://www.huelvabuenasnoticias.com</t>
  </si>
  <si>
    <t>Española Republicana</t>
  </si>
  <si>
    <t>Republica española</t>
  </si>
  <si>
    <t>Un granito de arena en favor de la recuperación de la legalidad Republicana #IIIREPUBLICA #UnidosPodemos orgullosa de ser de Granada #Andalucia</t>
  </si>
  <si>
    <t>https://www.youtube.com/channel/UCzxgc4H0oHpD_o05R7wmEAA</t>
  </si>
  <si>
    <t>- MARINEDA -</t>
  </si>
  <si>
    <t>PABLO CASADO VA A LLEVAR AL PP A LA INSIGNIFICANCIA, COMO LO SON AHORA EN CATALUÑA. En @elconfidencial: El PP rompe las negociaciones y amenaza con dilatar la renovación del CGPJ</t>
  </si>
  <si>
    <t>https://www.elconfidencial.com/espana/2018-11-20/manuel-marchena-renovacion-cgpj-partido-popular_1656798/?utm_source=twitter&amp;utm_medium=social&amp;utm_campaign=BotoneraWeb</t>
  </si>
  <si>
    <t>📍Si todo te da igual, estás haciendo mal las cuentas.</t>
  </si>
  <si>
    <t>Boulevard R. Euskadi</t>
  </si>
  <si>
    <t>🎙️"Es de sinvergüenzas pedir que se olvide a los desaparecidos en el franquismo, como hacen Pablo Casado o Rafael Hernando" 📚Ian Gibson (Dublín, 1939) 📻@radioeuskadi</t>
  </si>
  <si>
    <t>https://www.eitb.eus/es/radio/radio-euskadi/programas/boulevard/detalle/6004305/ian-gibson-habla-derecha-espanola-presenta-vida-muerte-lorca/</t>
  </si>
  <si>
    <t>pic.twitter.com/FDOx4x1dAv</t>
  </si>
  <si>
    <t>Euskadi</t>
  </si>
  <si>
    <t>Cada mañana, de 6 a 13 horas, Dani y Miriam en @RadioEuskadi para todo el País, y en internet para todo el mundo http://www.eitb.eus</t>
  </si>
  <si>
    <t>http://www.eitb.eus/es/radio/radio-euskadi/programas/boulevard/</t>
  </si>
  <si>
    <t>mira si le interesa que el PP mantenga el pacto...desde luego si el PP es tan tonto que cede, Pablo Casado habrá firmado su sentencia y las elecciones andaluzas dadlas por perdidas... RT @MONTESQUIEU1956: Sánchez asegura que "comprende" la renuncia de Marchena y pide al PP que mantenga el pacto  vía @expansioncom</t>
  </si>
  <si>
    <t>https://twitter.com/MONTESQUIEU1956/status/1064810058649927686
http://www.expansion.com/economia/politica/2018/11/20/5bf3c422ca4741e23e8b45d5.html</t>
  </si>
  <si>
    <t>Me figuro que después de la renuncia de Marchena, Pablo Casado mandará a Cosidó a su casa o como ha sido jefe de la Policia sabe muchas cosas?</t>
  </si>
  <si>
    <t>Judit Rossell</t>
  </si>
  <si>
    <t>La alianza de extrema derecha que impulsa Steve Bannon en Europa apunta a Pablo Casado</t>
  </si>
  <si>
    <t>https://m.eldiario.es/politica/Steve-Bannon-extrema-derecha-Europa-Pablo-Casado_0_821368075.html</t>
  </si>
  <si>
    <t>Advocada, Filla d'en Xavi , mare de cinc fills, enamorada del meu marit, del País, de la seva gent i esperant veure un Estat Català. Hola República</t>
  </si>
  <si>
    <t>Alexis es humanista, Marcos Anarquista y yo votaré a Pablo Casado porque soy de números. #PUBLICKM</t>
  </si>
  <si>
    <t>RUPI, AUSWITCH</t>
  </si>
  <si>
    <t>Socialdemócrata al servicio del capitalismo. Vamos, un traidor.</t>
  </si>
  <si>
    <t>Ramón Lara Tébar</t>
  </si>
  <si>
    <t>Profesor (jubilado) Facultad de Educación - UCM - Geógrafo - Máster en Educación Ambiental - Experto en Formación del Profesorado</t>
  </si>
  <si>
    <t>http://ralate.blogspot.com/</t>
  </si>
  <si>
    <t>Basilio Lorenzo</t>
  </si>
  <si>
    <t>....“Ignacio Cosidó, el negociador de Pablo Casado, en los que intentaba convencer a sus compañeros del reparto acordado con el PSOE en el Poder Judicial con el argumento de que el nombramiento de este magistrado permitiría "controlar desde detrás" ....</t>
  </si>
  <si>
    <t>https://m.eldiario.es/31f00feb_837816299/</t>
  </si>
  <si>
    <t>.@Boulevardeitb El prestigioso hispanista Ian Gibson califica a Pablo Casado como 'sinvergüenza' por su rechazo a solucionar la cuestión de las cunetas de la Guerra Civil. Presenta 'Vida y Muerte de García Lorca'.</t>
  </si>
  <si>
    <t>MEDITERRÁNEO DIGITAL</t>
  </si>
  <si>
    <t>✍️ La #Opinión de Alejo Vidal-Quadras en @MediterraneoDGT El ‘Alea iacta est’ de Pablo Casado</t>
  </si>
  <si>
    <t>Políticamente Incorrecto. https://www.fb.com/MediterraneoDigital</t>
  </si>
  <si>
    <t>http://www.mediterraneodigital.com</t>
  </si>
  <si>
    <t>Sociedad Iberista</t>
  </si>
  <si>
    <t>“En todo caso, mejor De Prada como vocal en CGPJ que en la Audiencia poniendo sentencias contra el PP. El control de la Justicia es deleznable. Ignacio Cosidó debe dimitir. Pablo Casado Partido Popular</t>
  </si>
  <si>
    <t>Peninsula Ibérica</t>
  </si>
  <si>
    <t>Cuenta Oficial de la mayor asociación de Iberismo | Sin ánimo de lucro | Solo cabe progresar cuando se piensa en grande. | Asóciate: https://goo.gl/cmwv6c</t>
  </si>
  <si>
    <t>https://iberismo.wixsite.com/sociedadiberista</t>
  </si>
  <si>
    <t>Mario Vera</t>
  </si>
  <si>
    <t>Pablo Casado emplea con Cosidó el 'modus operandi' de Cospedal  vía @mjguemes</t>
  </si>
  <si>
    <t>http://cadenaser.com/ser/2018/11/20/politica/1542699324_507305.html?ssm=tw</t>
  </si>
  <si>
    <t>Periodista. En @SextaNocheTV y miembro de @Maldita_es | Me interesa la política, la estrategia y la innovación en medios. De Cartagena ⚓️</t>
  </si>
  <si>
    <t>Franciscoalbacarmona@Gmail</t>
  </si>
  <si>
    <t>No terminan de salir de un estercolero cuando ya están metidos en otro estercolero más grande aun.</t>
  </si>
  <si>
    <t>kokilaborda</t>
  </si>
  <si>
    <t>Entonces -sonrió el sabio- Si no es verdadero, ni bueno, ni necesario… sepultémoslo en el olvido…”</t>
  </si>
  <si>
    <t>albero alto (Huesca)</t>
  </si>
  <si>
    <t>De Huesca, vivo cerca de ella, y a pesar de todo sigo creyendo...en las personas</t>
  </si>
  <si>
    <t>metricalphilosophy</t>
  </si>
  <si>
    <t>El presidente del Partido Popular (PP), Pablo Casado, el presidente de Colombia, Iván Duque, la eurodiputada Beatriz Becerra y la oposición venezolana son algunos de los galardonados por los premios anuales de la revista Cambio16, que cumple 48 años desde su fundación en 1971.</t>
  </si>
  <si>
    <t>https://pbs.twimg.com/media/Dsbt969XoAAzfZj.jpg</t>
  </si>
  <si>
    <t xml:space="preserve">Reggio nell’Emilia </t>
  </si>
  <si>
    <t>I drank your blood as you tasted mine. Your lips so sweet, like a shiver down my spine.</t>
  </si>
  <si>
    <t>La Cúpula de la IRA</t>
  </si>
  <si>
    <t>Según su cv, Pablo Casado tiene 3 Estrellas Michelín.</t>
  </si>
  <si>
    <t>https://pbs.twimg.com/media/DsbtiijWwAUbmPk.jpg</t>
  </si>
  <si>
    <t>Popópolis</t>
  </si>
  <si>
    <t>Mi estilo es tuitear lo primero que se me pasa por la cabFETOS RELLENOS DE MIERDA DE PERRO.</t>
  </si>
  <si>
    <t>PP Y PSOE REPARTIENDOSE EL CONSEJO GENERAL DEL PODER JUDICIAL Polonía TV3: Pedro Sánchez y Pablo Casado se reparten el Consejo General del Poder Judicial... que parodia más real. #AdelanteAndalucía #2D #AdelanteFeministas #AdelanteDosHermamas</t>
  </si>
  <si>
    <t>https://pbs.twimg.com/media/DsbkJFMX4AAde6q.jpg</t>
  </si>
  <si>
    <t>http://www.revistaelobservador.com</t>
  </si>
  <si>
    <t>Juan Carlos</t>
  </si>
  <si>
    <t>Pablo Casado está muerto políticamente.. Núñez Feijoo o Soraya tienen que ser urgentemente uno d los candidatos a las elecciones generales.</t>
  </si>
  <si>
    <t>Distrito De Hortaleza</t>
  </si>
  <si>
    <t>🇪🇸de Madrid.Votante socialista hasta la llegada de Pedro Sánchez. ¡ELECCIONES YA!</t>
  </si>
  <si>
    <t>Ancín</t>
  </si>
  <si>
    <t>Pedro Sánchez el inútil debería irse a su casa de la mano del inútil de Pablo Casado.</t>
  </si>
  <si>
    <t>Resto del mundo</t>
  </si>
  <si>
    <t>Vaya a vender sus neuras a otra parte, aquí estamos servidos.</t>
  </si>
  <si>
    <t>http://navarra.elespanol.com/opinion/autor/002529/javier-ancin</t>
  </si>
  <si>
    <t>Paula Bardavío</t>
  </si>
  <si>
    <t>Que cuajo, dice que las causas contra aforados son la mejor muestra de su independencia: v. gr. la causa contra Pablo Casado por lo del máster de la UJC. RT @PoderJudicialEs: Comunicado del presidente de la Sala Segunda del Tribunal Supremo, Manuel Marchena</t>
  </si>
  <si>
    <t>https://twitter.com/poderjudiciales/status/1064781272483012609</t>
  </si>
  <si>
    <t>Aragón-Aragó</t>
  </si>
  <si>
    <t>Va de negaciones, visto lo visto: No autorizo transcripción en prensa de mis tuits (ni resto de actividad en la red). Y no represento a nadie, solo mi opinión .</t>
  </si>
  <si>
    <t>Puchi Manas</t>
  </si>
  <si>
    <t>... @pablocasado_ reescribiendo la historia. Los límites d la posverdad</t>
  </si>
  <si>
    <t>https://www.huffingtonpost.es/2018/11/17/pablo-casado-los-espanoles-no-colonizabamos-lo-que-haciamos-era-tener-una-espana-mas-grande_a_23592393/</t>
  </si>
  <si>
    <t>Amigo invisible</t>
  </si>
  <si>
    <t>VOX_Albacete</t>
  </si>
  <si>
    <t>El actual portavoz del PP en el Senado, persona de confianza de Pablo Casado, Ignacio Cosido, dedicó 80 policías, para recuperar papeles y cintas de Bárcenas que afectaban a altos cargos del PP, entre ellos Cospedal.</t>
  </si>
  <si>
    <t>https://www.dclm.es/noticias/79148/ochenta-policias-para-recuperar-documentos-de-barcenas-y-ocultarlos-a-la-justicia</t>
  </si>
  <si>
    <t>https://pbs.twimg.com/media/Dsbp3ZLWsAAjvB8.jpg</t>
  </si>
  <si>
    <t>Albacete (España)</t>
  </si>
  <si>
    <t>Cuenta oficial de @VOX_Albacete. Enamorados de España 🇪🇸 . ¿Nos sigues? 😉 ✉️ info@albacete.voxespana.es 644 38 22 43</t>
  </si>
  <si>
    <t>https://www.voxespana.es/albacete</t>
  </si>
  <si>
    <t>Chorizos¡ Cuánto dinero nos habrán robado estos delincuentes de cuello blanco, traje de Armani y camisa de Hugo Boss... mientras nos recortaban en Sanidad, educación, Ley de dependencia, etc. ? Cuando Pablo CASADO se entera de esto dirá VIVA EL REY ?</t>
  </si>
  <si>
    <t>http://cadenaser.com/ser/2018/11/19/tribunales/1542652839_577735.html</t>
  </si>
  <si>
    <t>Amayita</t>
  </si>
  <si>
    <t>Claro, y el PP no roba, simplemente nos quita el dinero para q no lo malgastemos en vicios como comer, no??? #Casado #DeberiaApellidarseCansado #QuePesadillaDeHombre</t>
  </si>
  <si>
    <t>https://www.huffingtonpost.es/2018/11/17/pablo-casado-los-espanoles-no-colonizabamos-lo-que-haciamos-era-tener-una-espana-mas-grande_a_23592393/?ncid=other_twitter_cooo9wqtham&amp;utm_campaign=share_twitter</t>
  </si>
  <si>
    <t>No hagas una pregunta si no vas a poder soportar la respuesta. Hija de Gabriel y Mila, hermana de Leire y amiga de mis amig@s. Rubia :-D</t>
  </si>
  <si>
    <t>Ignacio Garrido</t>
  </si>
  <si>
    <t>"Las revelaciones de la operación Kitchen demuestran que Pablo Casado tiene su porvenir construido sobre un cementerio indio, como en Poltergeist, por lo cual dedica demasiado tiempo por semana a disociarse de un pasado podrido que lo lastra..."</t>
  </si>
  <si>
    <t>https://amp.elmundo.es/opinion/2018/11/20/5bf2cafce5fdeacc128b4664.html?__twitter_impression=true</t>
  </si>
  <si>
    <t>Hola.</t>
  </si>
  <si>
    <t>Si Pablo Casado no es capaz de recuperar los objetivos del PP en la enseñanza, la independencia judicial, pago de nóminas a funcionarios, etc., y de poner gente que no tenga nada que ver con la etapa anterior, no se merece ser votado. Sería un peligro que llegara a gobernar.</t>
  </si>
  <si>
    <t>#EspañaEsUna #SuperVox #Vox #VozAvanza #EspañaLoPrimero #LaEspañaQueMadruga #LaEspañaQueTrabaja voxnoticias_es: El okupa Sánchez ha renunciado a cualquier tipo de reclamación sobre Gibraltar a cambio de carguitos en la UE… Pablo Casado habla de "coso…</t>
  </si>
  <si>
    <t>pic.twitter.com/XCb6dk5SpI</t>
  </si>
  <si>
    <t>Alejo Vidal-Quadras</t>
  </si>
  <si>
    <t>Un individuo que envía un wassap como el que Ignacio Cosidó ha remitido a los senadores del Grupo Popular debe ser cesado de inmediato por Pablo Casado, pero no por no respetar la independencia del poder judicial, que también, sino por manifiesta falta de luces.</t>
  </si>
  <si>
    <t>Catedrático jubilado. Ex Vicepresidente del Parlamento Europeo. Comprometido con la libertad y con la sociedad abierta. Sin adscripción partidista</t>
  </si>
  <si>
    <t>Johnny Perovic</t>
  </si>
  <si>
    <t>Pablo Casado se ha puesto hoy calzoncillos negros.</t>
  </si>
  <si>
    <t>Tenerife, Banana Republic</t>
  </si>
  <si>
    <t>Multimillonario aburrido</t>
  </si>
  <si>
    <t>Plasencia, España</t>
  </si>
  <si>
    <t>Pablo Casado emplea con Cosidó el 'modus operandi' de Cospedal</t>
  </si>
  <si>
    <t>http://cadenaser.com/ser/2018/11/20/politica/1542699324_507305.html#?ref=rss&amp;format=simple&amp;link=link</t>
  </si>
  <si>
    <t>e24diari</t>
  </si>
  <si>
    <t>Alejandro Fernández, afín a Pablo Casado, representa una apuesta de los populares en Catalunya para recuperar la influencia perdida en los últimos años al calor del Procés</t>
  </si>
  <si>
    <t>http://www.e24diari.es/texto-diario/mostrar/1249471/alejandro-fernandez-apuesta-pp-catalan-volver-origenes</t>
  </si>
  <si>
    <t>Diario digital independiente, editado en Barcelona. e24diari te ofrece las noticias más destacadas sobre Barcelona, Cataluña y España, de forma cercana y amena</t>
  </si>
  <si>
    <t>http://www.e24diari.es</t>
  </si>
  <si>
    <t>Pablo Casado emplea con Cosidó el 'modus operandi' de Cospedal  Informa @mjguemes</t>
  </si>
  <si>
    <t>http://cadenaser.com/ser/2018/11/20/politica/1542699324_507305.html</t>
  </si>
  <si>
    <t>OPINIÓN: Pablo Casado y la justicia española  vía @iescolar</t>
  </si>
  <si>
    <t>https://www.eldiario.es/_30b09303</t>
  </si>
  <si>
    <t>Daniel Muñoz</t>
  </si>
  <si>
    <t>🛑ÚLTIMAHORA: Pablo Montesinos avanza en @eslamananadeFJL que el PP suspende el acuerdo para renovar el CGPJ y avanza que el partido que dirige Pablo Casado buscará apoyos para reformar el sistema de elección.</t>
  </si>
  <si>
    <t>Periodista. Redactor del programa @eslamananadeFJL</t>
  </si>
  <si>
    <t>Pepito García</t>
  </si>
  <si>
    <t>Marchena le ha hecho el favor de su vida a Pablo Casado. Esperemos que lo sepa aprovechar. RT @el_pais: ÚLTIMA HORA | El PP da por roto el acuerdo para renovar el Poder Judicial y suspende las negociaciones "hasta que la ministra Delgado sea cesada"</t>
  </si>
  <si>
    <t>https://twitter.com/el_pais/status/1064788762188816385
https://elpais.com/politica/2018/11/20/actualidad/1542697441_589989.html?id_externo_rsoc=TW_CM</t>
  </si>
  <si>
    <t>Catalunya, Espanya, Europa</t>
  </si>
  <si>
    <t>🇪🇺</t>
  </si>
  <si>
    <t>OPINIÓN | Todo lo que olvida el Supremo para salvar a Pablo Casado, por Ignacio Escolar  vía @iescolar</t>
  </si>
  <si>
    <t>https://www.eldiario.es/_30d5f463</t>
  </si>
  <si>
    <t>Concepción 🇪🇸 #SanchezDimision</t>
  </si>
  <si>
    <t>El PP no renovará el CGPJ, según fuentes oficiales. Hasta que no dimita Dolores Delgado, el partido de Pablo Casado "no tiene interlocutor para este tema", anunciaron a este diario fuentes de la dirección nacional.  vía @libertaddigital</t>
  </si>
  <si>
    <t>RT todas las notícias e historia sobre Cataluña y Sanchez a la prensa extranjera. La verdad es nuestra mejor arma Nazios los bloqueo a la 1ra.</t>
  </si>
  <si>
    <t>RevistaElObservador</t>
  </si>
  <si>
    <t>Aznar (PP) viene a Málaga en campaña electoral para echarle una mano a su hijo político, Pablo Casado. Mañana presenta ‘su libro’ ‘El futuro es hoy’ en el salón de actos del CAC (Centro de Arte Contemporáneo)</t>
  </si>
  <si>
    <t>http://ow.ly/NP9230mGfhp</t>
  </si>
  <si>
    <t>Lo tremendamente inmoral es que COSIDÓ hasta hace nada era el director de la Policía Nacional. Y ahí sigue en el Senado por designación DE PABLO CASADO</t>
  </si>
  <si>
    <t>https://www.elconfidencial.com/espana/2018-11-20/marchena-se-retira-de-la-presidencia-del-supremo-tras-los-mensajes-de-cosido_1656766/?utm_source=facebook&amp;utm_medium=social&amp;utm_campaign=ECDiarioManual</t>
  </si>
  <si>
    <t>Miope con buen ojo</t>
  </si>
  <si>
    <t>#LaCafeteraAgalopar "El juez-senador del PP compró una finca de 3.941 metros cuadrados por 676 euros El elegido de Pablo Casado para el Gobierno de los jueces se quedó con 3 bienes del Estado a un precio ridículo en una subasta sospechosa"</t>
  </si>
  <si>
    <t>https://www.elplural.com/politica/el-juez-senador-del-pp-compro-una-finca-de-3-941-metros-cuadrados-por-676-euros_206521102</t>
  </si>
  <si>
    <t>Was born &amp; living in the hope</t>
  </si>
  <si>
    <t>No puedo evitar revelarme contra las injusticias, el sufrimiento innecesario y la imposición de líneas de pensamiento y creencias sólo por ser mayoritarias👤🌱👁️</t>
  </si>
  <si>
    <t>J.A. Zarzalejos</t>
  </si>
  <si>
    <t>Lo que procede es que Pablo Casado pida la dimisión de Cosidó y declare perdida su confianza en Catalá. Por una cuestión de dignidad. El acuerdo sobre el CGPJ debe quedar rescindido tras la ejemplar renuncia de Marchena a presidirlo.</t>
  </si>
  <si>
    <t>Periodista. A veces el silencio es la peor mentira (Miguel de Unamuno)</t>
  </si>
  <si>
    <t>http://www.joseantoniozarzalejos.com</t>
  </si>
  <si>
    <t>Cierto, pero es que esto da una oportunidad estratégica a Pablo Casado para actuar fuera de las garras de Rajoy y el peso gigante que arrastra el PP. Está bien que lo aproveche. Podría no haber dicho nada. RT @pabloharour: @montesinospablo Curioso que Delgado no le molestaba hasta que Marchena no ha renunciado.</t>
  </si>
  <si>
    <t>https://twitter.com/pabloharour/status/1064782098899394560</t>
  </si>
  <si>
    <t>Uno de Soto</t>
  </si>
  <si>
    <t>Gran consejo de FJL @eslamananadeFJL para Pablo Casado @pablocasado_ LEYENDA DE LA CAMPANA DE HUESCA</t>
  </si>
  <si>
    <t>https://es.m.wikipedia.org/wiki/Campana_de_Huesca</t>
  </si>
  <si>
    <t>This Is The Official Twitter Of Pablo. Liberal, católico y no madridista. Mi familia lo más importante. COMUNISMO: una lacra para los pueblos, demostrado.</t>
  </si>
  <si>
    <t>http://www.facebook.com/sotocerrato</t>
  </si>
  <si>
    <t>Ah, estupendo. Pedro Sánchez hace anuncios sin contar con los anunciados, véase Portugal, y Pablo Casado, también, véase juez Marchena.</t>
  </si>
  <si>
    <t>PYRATA CALIFAL</t>
  </si>
  <si>
    <t>PSOE - SOCIALISTA // FANS FITO // CORDOBÉS HASTA LA MÉDULA</t>
  </si>
  <si>
    <t>Entrevista a Pablo Casado: "VOX para nosotros es como ese primo que es tonto del culo pero que tiene buen fondo"  vía @eljueves</t>
  </si>
  <si>
    <t>https://www.eljueves.es/news/entrevista-a-pablo-casado-vox-para-nosotros-es-como-ese-primo-que-es-tonto-culo-pero-que-tiene-buen-fondo_2936</t>
  </si>
  <si>
    <t>Liberal Enfurruñada</t>
  </si>
  <si>
    <t>El portavoz del PP de Pablo Casado en el Senado, Cosidó destinó 80 agentes a espiar a Bárcenas y a rescatar documentos sensibles de Rajoy, Soraya, Arenas y Cospedal</t>
  </si>
  <si>
    <t>https://okdiario.com/investigacion/2018/11/20/cosido-destino-80-agentes-espiar-barcenas-rescatar-documentos-sensibles-rajoy-soraya-arenas-cospedal-3369837#.W_Ot6gieM_E.twitter</t>
  </si>
  <si>
    <t>Por la libertad, así como por la honra, se puede y debe aventurar la vida. @okdiario https://www.facebook.com/muyliberal Frases Liberales: https://goo.gl/5dpESU</t>
  </si>
  <si>
    <t>https://okdiario.com/autor/liberal</t>
  </si>
  <si>
    <t>Nos está quedando una justicia muy bonita "Denunciado el Fiscal que pidió el archivo del caso Máster de Pablo Casado" - Diario16</t>
  </si>
  <si>
    <t>"Pablo Casado es como la homeopatía; no tiene estudios que lo avalen". El Gran Wyoming.</t>
  </si>
  <si>
    <t>🎗🎗 Dr. Joan de Gracia 🎗🎗</t>
  </si>
  <si>
    <t>"Las violetas imperiales de Pablo Casado"</t>
  </si>
  <si>
    <t>https://lopezbulla.blogspot.com/2018/11/las-violetas-imperiales-de-pablo-casado.html</t>
  </si>
  <si>
    <t>Activista del Programari Lliure - Usuari registrat de GNU/Linux: #35032 - FSF Associate Membership: #2442</t>
  </si>
  <si>
    <t>http://joandegracia.blogspot.com</t>
  </si>
  <si>
    <t>Javier Alonso</t>
  </si>
  <si>
    <t>Pablo Casado tiene su porvenir construido sobre un cementerio indio, como en Poltergeist,</t>
  </si>
  <si>
    <t>https://www.elmundo.es/opinion/2018/11/20/5bf2cafce5fdeacc128b4664.html</t>
  </si>
  <si>
    <t>http://city-diary.tumblr.com</t>
  </si>
  <si>
    <t>http://mosaicomercurio.blogspot.com</t>
  </si>
  <si>
    <t>JuanRa Bethencourt</t>
  </si>
  <si>
    <t>Albert Rivera y Pablo Casado, su jefe, dicen que tienen "un plan para Andalucía". Por eso llevan un mes hablando, de Cataluña, a las familias andaluzas, Se nota de lejos quien tiene un máster.</t>
  </si>
  <si>
    <t>Primum non nocere. Homo sum, humani nihil a me alienum puto. Etiam si omnes, ego non.</t>
  </si>
  <si>
    <t>El Fiscal que pidió el archivo del caso Máster de Pablo Casado ha sido denunciado por pedir el archivo del asunto de la hija del juez Manuel Marchena &gt; La esposa del juez Pablo Llarena, creó una plaza de fiscales para favorecer a la hija de Marchena</t>
  </si>
  <si>
    <t>https://bit.ly/2KibbAJ</t>
  </si>
  <si>
    <t>https://pbs.twimg.com/media/Dsa_CUnX4AEsy42.jpg</t>
  </si>
  <si>
    <t>Joan Mani 🎗️</t>
  </si>
  <si>
    <t>Cara a cara entre Pablo Casado, Albert Rivera, Santiago Abascal e Inés Arrimadas para las elecciones de Andalucía.</t>
  </si>
  <si>
    <t>pic.twitter.com/1btoOdIEul</t>
  </si>
  <si>
    <t>Somniador d' illes utòpiques. Animal decebut dels humans.</t>
  </si>
  <si>
    <t>Jaume Satorra</t>
  </si>
  <si>
    <t>Anabel Alonso destroza a Pablo Casado en Twitter con una mofa  via @jaumesatorra</t>
  </si>
  <si>
    <t>https://jaumesatorrahervera.wordpress.com/2018/11/20/anabel-alonso-destroza-a-pablo-casado-en-twitter-con-una-mofa/</t>
  </si>
  <si>
    <t>Manresa El Bages Catalunya</t>
  </si>
  <si>
    <t>El hombre no posee el poder de crear vida. No posee tampoco, por consiguiente, el derecho a destruirla. (Gandhi) - Blogger</t>
  </si>
  <si>
    <t>https://jaumesatorrahervera.wordpress.com/</t>
  </si>
  <si>
    <t>Nuevarevolucion.es</t>
  </si>
  <si>
    <t>Coplas de Mingo Revulgo, o de cómo Pablo Casado logró doblegar la naturaleza. Poesía de Javier Delgado Gallego @olduvay22</t>
  </si>
  <si>
    <t>https://nuevarevolucion.es/poesia-critica-coplas-de-mingo-revulgo-o-de-como-pablo-casado-logro-doblegar-la-naturaleza/</t>
  </si>
  <si>
    <t>Galiza-Madrid-Barcelona</t>
  </si>
  <si>
    <t>Periodismo alternativo. info@nuevarevolucion.es</t>
  </si>
  <si>
    <t>http://www.nuevarevolucion.es</t>
  </si>
  <si>
    <t>nuriapat</t>
  </si>
  <si>
    <t>El PP sabe que Pablo Casado se va a comer el batacazo , luego saldrá un tocho del partido cuando haya opciones. Lo han puesto de señuelo. Pero se han pasado de frenada , es demasiado ignorante y mete gambas.</t>
  </si>
  <si>
    <t>Alicante España</t>
  </si>
  <si>
    <t>No puedo dejar de aprender, no puedo dejar de ver y esto me hace pensar todo el rato. Intento mejorar el mundo, soy inventora y sueño despierta.</t>
  </si>
  <si>
    <t>Maribel Fdez. Gañán</t>
  </si>
  <si>
    <t>Dejarse hundir por las teorías conspiranoicas de los tuyos. Caso práctico. Cosidó, otra piedra en el zapato de Casado</t>
  </si>
  <si>
    <t>Filósofa. Autora de Cordialidad pública (Casa del Libro). Profesora de Empresa y Administración en FP. Técnica Superior de Prevención de Riesgos Laborales.</t>
  </si>
  <si>
    <t>CANAL ⓩ</t>
  </si>
  <si>
    <t>Casado reivindica un "Gibraltar español" y culpa a Sánchez de "traición"</t>
  </si>
  <si>
    <t>https://www.20minutos.es/noticia/3494665/0/pablo-casado-reivindica-gibraltar-espanol-culpa-sanchez-traicion/</t>
  </si>
  <si>
    <t>https://pbs.twimg.com/media/DsaQULcWkAAp4Mw.jpg</t>
  </si>
  <si>
    <t>Canal Z Noticias. #Lifestyle #Cultura #Ciencia #Tecnología #Ocio e información que te hace diferente » Solo las cosas que importan y seguirán importando siempre</t>
  </si>
  <si>
    <t>https://okdiario.com/general/2018/11/19/casado-suma-idea-del-adelanto-electoral-pp-esta-preparado-ganar-3367348#.W_Nm17bSyMs.twitter</t>
  </si>
  <si>
    <t>juan fco cabrera romero</t>
  </si>
  <si>
    <t>El presidente del PP, Pablo Casado, ha subrayado hoy que su partido no va a admitir ninguna cesión en la reivindicación...</t>
  </si>
  <si>
    <t>https://okdiario.com/espana/2018/11/19/casado-dice-que-pp-no-admitira-cesiones-sobre-gibraltar-dejacion-funciones-sanchez-3369125#.W_NeRqqq6ok.facebook</t>
  </si>
  <si>
    <t>Ani Rubio</t>
  </si>
  <si>
    <t>Orgulloso de haber nacido en la Puerta de España.</t>
  </si>
  <si>
    <t>Ana Mª P. L.</t>
  </si>
  <si>
    <t>Steve Bannon anuncia su fichaje por Víktor Orban, aliado europeo de Pablo Casado  vía @eldiarioes</t>
  </si>
  <si>
    <t>https://www.eldiario.es/_31e5622c</t>
  </si>
  <si>
    <t>Socialista, seguidora y colaboradora de algunas ONGS, no soporto a los hipócritas. Aficiones: leer, pintar, oír música. LO MEJOR MI HIJO.</t>
  </si>
  <si>
    <t>Miguel Herce</t>
  </si>
  <si>
    <t>Lo de este señor es de una ignorancia de proporciones bíblicas. Ignorancia involuntaria y voluntaria, adquirida e innata, por activa y por pasiva. No hay, en resumen, por donde cogerla. Pablo Casado  via @YouTube</t>
  </si>
  <si>
    <t>https://youtu.be/gBj1ZEfTu1o</t>
  </si>
  <si>
    <t>United States</t>
  </si>
  <si>
    <t>Paso la vida cantando / Y me va como me va, / Un día por alegrías / Y el otro por soleá.</t>
  </si>
  <si>
    <t>Pablo Casado en Andalucía: más candidato que Juanma Moreno  Lo cuenta @inigoaduriz</t>
  </si>
  <si>
    <t>https://www.eldiario.es/politica/Casado-Andalucia-candidato-Juanma-Moreno_0_837116686.html</t>
  </si>
  <si>
    <t>https://pbs.twimg.com/media/DsZWDnGWwAExYj5.jpg</t>
  </si>
  <si>
    <t>☯ Iban The Dude © ᴴᴰ</t>
  </si>
  <si>
    <t>El duo comico entre Pablo Casado y Albert Rivera puede dar lugar al nuevo "Martes y Trece". Tiempo al tiempo. RT @laSextaTV: VÍDEO | Pablo Casado: "Nosotros no colonizábamos, lo que hacíamos era tener una España más grande"</t>
  </si>
  <si>
    <t>https://twitter.com/laSextaTV/status/1063878186688282625
http://atres.red/p7u8v2</t>
  </si>
  <si>
    <t>Antártida del Norte</t>
  </si>
  <si>
    <t>My Soul is Dark | Determination ♥️Painful 💙 and Sun Shot 💛 ◄► 🎬🎮🍻🍻 El Arte del Dibujo de la foto de perfil fue creado por la artistaza de @DarthMiaul 😍🐱</t>
  </si>
  <si>
    <t>https://www.youtube.com/channel/UCsvn_Po0SmunchJYOWpOxMg</t>
  </si>
  <si>
    <t>Alkarroña</t>
  </si>
  <si>
    <t>El sr. Pablo Casado no tiene razón ni cuando dice "buenas noches" a las 23 hrs.</t>
  </si>
  <si>
    <t>Aprendiz de mí mismo.</t>
  </si>
  <si>
    <t>VOXAlemania</t>
  </si>
  <si>
    <t>Lo único positivo que ha hecho Pablo Casado por España. Bueno, eso y dejar meridianamente claro que la regeneración del PP es un oxímoron, algo imposible por naturaleza, y que el PP ya es igual que el PSOE en lo fundamental: corrupción a espuertas y traición a España. RT @vox_es: 📰 @Santi_ABASCAL en Cádiz: “Desde que llegó Casado hemos pasado de 7.000 a 16.000 afiliados”  vía @diariocadiz 📣 #AndalucíaPorEspaña 🇪🇸</t>
  </si>
  <si>
    <t>https://twitter.com/vox_es/status/1064653974597484549
https://www.diariodecadiz.es/_4d98f724</t>
  </si>
  <si>
    <t>Alemania</t>
  </si>
  <si>
    <t>Cuenta oficial. Equipo multidisciplinario que trabaja difundiendo nuestro proyecto político a españoles residentes en Alemania alemania@exteriores.voxespana.es</t>
  </si>
  <si>
    <t>Pablo Casado, en Andalucía, habla de la tensión en Cataluña y que no se puede permitir que “apaleen a policías como vimos el 1 de octubre”. Como puede decir esa desFACHAtez, cuando fue la contundente carga policial que provoca más de 1000 heridos entre gente indefensa.</t>
  </si>
  <si>
    <t>Gustavo Enrique Böhm</t>
  </si>
  <si>
    <t>Pablo Casado, la boca del...</t>
  </si>
  <si>
    <t>http://www.elnacional.cat/ca/opinio/david-gonzalez-casado-nazis-puigdemont_325872_102.html?utm_campaign=7bcd6ebadc-EMAIL_CAMPAIGN_2018_08_12_08_43_COPY_01&amp;utm_medium=email&amp;utm_source=Newsletter+CATAL%C3%80&amp;utm_term=0_a31d6c8a9b-7bcd6ebadc-291083069</t>
  </si>
  <si>
    <t>Argentina</t>
  </si>
  <si>
    <t>ACTOR EN TEATRO desde 1978, mis últimos trabajos fueron en el Complejo Teatral de Buenos Aires</t>
  </si>
  <si>
    <t>https://twitter.com/pablocasado_/status/1063176784601067521</t>
  </si>
  <si>
    <t>https://pbs.twimg.com/media/DsEppU8WkAY9HFE.jpg</t>
  </si>
  <si>
    <t>Sergi Maraña</t>
  </si>
  <si>
    <t>Pablo Casado ya ha comenzado su campaña electoral en #Catalucía. Los andaluces deberíais pasar factura, en las urnas, a todos aquellos políticos que os ignoran y os torean para no hablar de lo que verdaderamente os importa: vosotros y Andalucía.</t>
  </si>
  <si>
    <t>pic.twitter.com/p4jBaNkQap</t>
  </si>
  <si>
    <t>Periodista. Ara, CM a @elnacionalcat. Aquí, opinions personals.</t>
  </si>
  <si>
    <t>Aurora Millan Galleg</t>
  </si>
  <si>
    <t xml:space="preserve">En bilbao </t>
  </si>
  <si>
    <t>Aurora Siempre Libre</t>
  </si>
  <si>
    <t>A 1/2 Jornada</t>
  </si>
  <si>
    <t>Lo de Susana Díaz con la corrupción, afirmando que tiene 80 cochinos € en la cuenta bancaria es para que vaya a detenerla la Guardia Civil, pero Pablo Casado con la "Kitchen" no tiene mucho que hablar. Qué imagen de MIERDA proyectan de mí país. 🤣🤣🤣#GarantíaDeCambio 🤣🤣🤑</t>
  </si>
  <si>
    <t>3°Regional Europea(Spain)</t>
  </si>
  <si>
    <t>Con más tensión que cagar sin pestillo. Para evitar: todo es (presunto)</t>
  </si>
  <si>
    <t>Acritor</t>
  </si>
  <si>
    <t>España deja en el aire la cumbre para aprobar el acuerdo del Brexit si no se resuelve el pacto sobre Gibraltar - Pablo Casado, q es un adelantado en historia, debería saber q cuando un deudor no paga su deuda es embargado y eso ocurrió entre ambos países.</t>
  </si>
  <si>
    <t>https://m.eldiario.es/31eabb31_837466929/</t>
  </si>
  <si>
    <t>Yayotwittero ft. La Poyuela desarmando el nido que hay montado por aquí.</t>
  </si>
  <si>
    <t>Dani Cela</t>
  </si>
  <si>
    <t>Pablo Casado Blanco on Twitter RT @pablocasado_: En el #DebateCanalSur ha habido un claro ganador, @JuanMa_Moreno. Contundente, seguro y con las ideas claras ha explicado sus propuestas y rebatido a quien representa el socialismo de la corrupción y a quien les ha sostenido. Enhorabuena, serás el mejor presidente de Andalucía.</t>
  </si>
  <si>
    <t>https://twitter.com/pablocasado_/status/1064655180334018562?s=04
https://twitter.com/ppandaluz/status/1064578239493013505</t>
  </si>
  <si>
    <t>Periodista. http://eldiario.es/andalucia @eldiarioand Yo creo en Billy Wilder</t>
  </si>
  <si>
    <t>Por un momento pensé que hoy iba a ir al debate Pablo Casado</t>
  </si>
  <si>
    <t>diegojimenezrodrigue</t>
  </si>
  <si>
    <t>Pablo Casado,de autopias tambien se vive......Espero que utd. ETERNAMENTE.. RT @IviramAlonso: Estáis de mierda hasta el cuello. @JuanMa_Moreno @pablocasado_ Y os tiene que explotar no tardando, fascistas.</t>
  </si>
  <si>
    <t>https://twitter.com/IviramAlonso/status/1064658973947760640
https://twitter.com/pablocasado_/status/1064655180334018562</t>
  </si>
  <si>
    <t>🦂camionero.</t>
  </si>
  <si>
    <t>Viajero</t>
  </si>
  <si>
    <t>Español y casi torero, Maestro chocolatero y graduado Cum Laude en tortillas de ultraderecha, Pablo Casado a los fogones! #MasterChef</t>
  </si>
  <si>
    <t>https://pbs.twimg.com/media/DsZsngsXcAUVKBV.jpg</t>
  </si>
  <si>
    <t>Sara.</t>
  </si>
  <si>
    <t>Uno de los grandes retos de mi vida no ha sido emigrar, tampoco vivir el chavismo. Ha sido trabajar con pseudopodemistas que asumen que por ser venezolana apoyas a Pablo Casado.</t>
  </si>
  <si>
    <t>pic.twitter.com/sYNbr1AVjV</t>
  </si>
  <si>
    <t>Soy quien soy, no preciso identificación</t>
  </si>
  <si>
    <t>Manuel Budiño</t>
  </si>
  <si>
    <t>El Gobierno de Sánchez es como el aloe vera, cuanto más lo investigas más propiedades le encuentras': 'El show de Pablo Casado', 'el maestro del humor'  vía @el_intermedio</t>
  </si>
  <si>
    <t>https://goo.gl/Bv9f52</t>
  </si>
  <si>
    <t>Oscar Mvyor ➰</t>
  </si>
  <si>
    <t>OPINIÓN | Las mentiras de Pablo Casado sobre el golpe, la Gürtel o la guerra de Irak, por Ignacio Escolar, @iescolar  via @iescolar</t>
  </si>
  <si>
    <t>Agustín Martín🇪🇸</t>
  </si>
  <si>
    <t>Leyendo 'Pablo Casado y la computación cuántica'</t>
  </si>
  <si>
    <t>http://www.expansion.com/blogs/peon-de-dama/2018/10/18/pablo-casado-y-la-computacion-cuantica.html</t>
  </si>
  <si>
    <t>#Alcobendas</t>
  </si>
  <si>
    <t>Concejal de Economia y Nuevas Oportunidades del Ayto de #Alcobendas. 4º Tte Alcalde. #PP. Apasionado sobre el uso NNTT en la política.</t>
  </si>
  <si>
    <t>http://agustinmartintorres.blogspot.com/</t>
  </si>
  <si>
    <t>Mariano Zurdo</t>
  </si>
  <si>
    <t>Viendo a Juanma Moreno en el debate se entiende por qué Pablo Casado quiere acaparar la campaña. Viendo a Pablo Casado en Andalucía se entiende por qué las encuestas les ponen en su sitio. Tanto uno como otro sólo hablan de Cataluña en el McDonalds. #DebateCanalSur</t>
  </si>
  <si>
    <t>Editor de Talentura. Escritor en busca de talento. Psicólogo y potencial paciente. Y, esencialmente, raro.</t>
  </si>
  <si>
    <t>http://mvazurdo.wix.com/marianozurdo</t>
  </si>
  <si>
    <t>Con todas las purgas que ha hecho Pablo Casado, definitivamente, en la actualidad mi politica favorita del PP es Susana Díaz.</t>
  </si>
  <si>
    <t>MF</t>
  </si>
  <si>
    <t>Pablo Casado: "este porro no sube." Pablo Casado 5 minutos después: RT @inigolanda: El día de "La Hispanidad" según @pablocasado_ : "Nosotros, los españoles, no colonizábamos sino que hacíamos una España más grande, por eso, a aquéllas gentes de las Colonias les llamábamos orgullosamente españoles" ⁉️⁉️⁉️ ¿Se pueden tener Colonias sin colonizar?</t>
  </si>
  <si>
    <t>https://twitter.com/inigolanda/status/1064557890776821768</t>
  </si>
  <si>
    <t>♀ 'Oraina jada iragan da, etorkizuna jokoan.' [Sonrisa, rebeldía y dignidad] EH</t>
  </si>
  <si>
    <t>Juan Antonio Parra</t>
  </si>
  <si>
    <t>.@pablocasado_ propone invadir Polonia para hacer España más grande.  vía @eljueves</t>
  </si>
  <si>
    <t>Murcia (Españistán)</t>
  </si>
  <si>
    <t>Aficionado a las buenas músicas del mundo y al baloncesto. Indignado, no. Hasta los huevos... Instagram: @j.parrag</t>
  </si>
  <si>
    <t>¿Pero al #DebateCanalSur no va Pablo Casado? ¿Quién es ese señor?</t>
  </si>
  <si>
    <t>Jorge Navas Alejo🔻</t>
  </si>
  <si>
    <t>“Ya me gustaría a mí ver a Albert Rivera o a Pablo Casado con un salario de 900€ durante 3 meses” Grande @TeresaRodr_ #DebateCanalSur</t>
  </si>
  <si>
    <t>Bruselas (California)</t>
  </si>
  <si>
    <t>Programador web y administrador de sistemas. Militante del @PCEBelgica e @IUBruselas. Comunicación interna en @iunida. Redes y audiovisuales en @IUEuropa.</t>
  </si>
  <si>
    <t>http://www.jorgenavasalejo.com</t>
  </si>
  <si>
    <t>SomosLegion</t>
  </si>
  <si>
    <t>En Nuestra Plaza: Desmontando a PABLO CASADO en 6 sencillos PASOS.</t>
  </si>
  <si>
    <t>https://ift.tt/2S2pE6F</t>
  </si>
  <si>
    <t>Juanjo Richarte ن</t>
  </si>
  <si>
    <t>No sé si Pablo Casado y Albert Rivera podrían vivir con 900€ al mes, lo que sé es que su compañero Pablo Iglesias no. #DebateCanalSur</t>
  </si>
  <si>
    <t>San Fernando, Andalucía</t>
  </si>
  <si>
    <t>Andaluz de la A a la Z, de San Fernando, ciudad donde se venció a Napoleón. Integrador social y profesor en proceso. Cañaíllamente cañaílla.</t>
  </si>
  <si>
    <t>Disgusting Corpse</t>
  </si>
  <si>
    <t>En serio, hay alguien (quitando a los del PP) qué se tome en serio a Pablo Casado???</t>
  </si>
  <si>
    <t>Vividor en prácticas. Life's too short to take things too seriously. #Apátrida</t>
  </si>
  <si>
    <t>Tú pagando un suplemento para hacer tu menú más grande cuando podías ir mesa por mesa cogiendo lo que te apetecía!!! Pues es lo que ha dicho Pablo Casado sobre el "descubrimiento" de América...</t>
  </si>
  <si>
    <t>#Casado se reunió con #Villarejo hace solo 3 años, cuando ya se sabía que era un POLICÍA CORRUPTO</t>
  </si>
  <si>
    <t>Aviranetado</t>
  </si>
  <si>
    <t>VÍDEO | "El Gobierno de Sánchez es como el aloe vera, cuanto más lo investigas, más propiedades le encuentras": Pablo Casado, "el maestro del humor" #elintermedio</t>
  </si>
  <si>
    <t>http://atres.red/ht0fo1</t>
  </si>
  <si>
    <t>Fernando 💯 Fuegos 🔥</t>
  </si>
  <si>
    <t>¿Colonizar? ¿qué es eso? ¿Una colonia? (Pablo Casado)</t>
  </si>
  <si>
    <t>Perdido</t>
  </si>
  <si>
    <t>Compongo música mientras mi vida se descompone.</t>
  </si>
  <si>
    <t>Diego Aitor</t>
  </si>
  <si>
    <t>Me imagino a Albert Rivera y Pablo Casado viendo indignados el #DebateCanalSur preguntándose quiénes son los que hablan del PP y Cs</t>
  </si>
  <si>
    <t>Si tienen una historia que contar, este es el lugar; si buscan una pendiente, sean bienvenidos.</t>
  </si>
  <si>
    <t>https://latintademagallines.wordpress.com/</t>
  </si>
  <si>
    <t>Y el @PPopular facilitándoselo...!!! El regalo que le ha hecho el PP del CGPJ a PSOE-PODEMOS le costará las elecciones a @pablo_casado ... y si no, ya lo veremos... RT @merijorichmond: Podemos pacto con los golpistas de ERC, proponer al abogado independentista Simeo Miguel para el consejo general del Poder Judicial. Podemos dinamitando España!! #PsoePodemos #MosMovem</t>
  </si>
  <si>
    <t>https://twitter.com/merijorichmond/status/1064609411950411777</t>
  </si>
  <si>
    <t>Doble R Huelva</t>
  </si>
  <si>
    <t>Díaz (Cs): Pablo Casado no puede venir a reírse de los onubenses tras el olvido de su Gobierno a nuestras playas, El número dos de Ciudadanos por Huelva, Julio Díaz, va a exigir al Ejecutivo socialista que se pongan en marcha planes de prevención y protección del litor</t>
  </si>
  <si>
    <t>https://pbs.twimg.com/media/DsZgO_gX4AU3Rgy.jpg</t>
  </si>
  <si>
    <t>Medio digital de Huelva donde puede conocer la actualidad de la capital y provincia, y descubrir el patrimonio Onubense</t>
  </si>
  <si>
    <t>http://www.doblerhuelva.es</t>
  </si>
  <si>
    <t>Jose Manuel</t>
  </si>
  <si>
    <t>Uvieu, Asturies</t>
  </si>
  <si>
    <t>http://elllobu.wordpress.com/</t>
  </si>
  <si>
    <t>Ya han saltado a la palestra Pedro Sánchez, Albert Rivera, Pablo Iglesias y Pablo Casado, se acabó Andalucía. #DebateCanalSur</t>
  </si>
  <si>
    <t>Pedro FR</t>
  </si>
  <si>
    <t>Pablo Casado es a la política lo que Maluma a la música..</t>
  </si>
  <si>
    <t>Cantante y guitarra de LA FUGA http://www.lafuga.net</t>
  </si>
  <si>
    <t>nachooooooo</t>
  </si>
  <si>
    <t>"nosotros no colonizabamos, haciamos una España más grande " jajajajajajajajajajaajajajajajajajajajajajajajajajajajajajajajajajajajajajajajajajajajajajajjaajajajajajajajajajajajaja by Pablo Casado</t>
  </si>
  <si>
    <t>madrid valdebernardo fonta</t>
  </si>
  <si>
    <t>https://okdiario.com/general/2018/11/19/casado-suma-idea-del-adelanto-electoral-pp-esta-preparado-ganar-3367348#.W_M0vntFsk0.twitter</t>
  </si>
  <si>
    <t>Señorita Kenobi</t>
  </si>
  <si>
    <t>Pablo Casado, en empate con Ángel Garó RT @jotaderos: The nominees for the best performance by an actor in a leading role</t>
  </si>
  <si>
    <t>https://twitter.com/jotaderos/status/1063750246684127233?s=19</t>
  </si>
  <si>
    <t>https://pbs.twimg.com/media/DsMzLubW0AA5nkt.jpg</t>
  </si>
  <si>
    <t>In a galaxy far far away....</t>
  </si>
  <si>
    <t>Profesión: fangirl. Estancia en algunos fandoms. Mi vida ahora: Star Wars. Estudiante de Derecho y proyecto de escritora. @LaVozdelImperio. Feminista 💃</t>
  </si>
  <si>
    <t>https://evastasia.tumblr.com/</t>
  </si>
  <si>
    <t>Miguel Ángel</t>
  </si>
  <si>
    <t>No me vale que usted diga esto por un lado y luego el @PPopular traicione a España regalando el CGPJ al PSOE-PODEMOS que sin duda harán un lavado judicial al independentismo... Ya no les harán falta ni siquiera los indultos... Debería darle a usted vergüenza Sr @pablo_casado RT @pablocasado_: Hemos presentado una solicitud de amparo al @Congreso_Es para que el PSOE desbloquee de una vez por todas la tramitación de la reforma de la Ley de indultos para los condenados por rebelión y sedición. Sánchez debe apoyarla o explicar a la sociedad por qué no lo hace.</t>
  </si>
  <si>
    <t>https://twitter.com/pablocasado_/status/1064597400218673152</t>
  </si>
  <si>
    <t>pic.twitter.com/TVkx3CxZB4</t>
  </si>
  <si>
    <t>Paupcas</t>
  </si>
  <si>
    <t>Saquemos nuestras banderas a los balcones tal y como ha dicho Pablo Casado. RT @ecorepublicano: No tenia pensamiento de colgarla, pero Pablo Casado, ha dicho que colguemos la bandera en el balcón, ya la he colgado. #12deOctubre Viva España republicana</t>
  </si>
  <si>
    <t>https://twitter.com/ecorepublicano/status/1050678992771067904</t>
  </si>
  <si>
    <t>https://pbs.twimg.com/media/DpTC-EBUYAgGQvB.jpg</t>
  </si>
  <si>
    <t>Rafael Borja</t>
  </si>
  <si>
    <t>Tales of #Ñ: - Mira, por ahí va Albert Rivera - Ese es Pablo Casado! - ¿Y cuál es la diferencia?</t>
  </si>
  <si>
    <t>València, País Valencià</t>
  </si>
  <si>
    <t>Allò que val és la consciència de no ser res si no s'és poble' ... 'No podran res davant d'un poble unit, alegre i combatiu' Vicent Andrés Estellés</t>
  </si>
  <si>
    <t>ElPeriódico Política</t>
  </si>
  <si>
    <t>Cosidó, una altra pedra a la sabata de Casado</t>
  </si>
  <si>
    <t>http://elperiodi.co/kv7id1</t>
  </si>
  <si>
    <t>Secció de Política de El Periódico, el diari de referència de Catalunya @elperiodico_cas (castellano) @elperiodico_cat (català)</t>
  </si>
  <si>
    <t>http://www.elperiodico.cat/ca/politica/</t>
  </si>
  <si>
    <t>Juan Carlos Ares</t>
  </si>
  <si>
    <t>Casado: "Los españoles no colonizábamos, lo que hacíamos era tener una España más grande"</t>
  </si>
  <si>
    <t>No admires el éxito, admira el esfuerzo de conseguirlo.</t>
  </si>
  <si>
    <t>Leonardo Fernández J</t>
  </si>
  <si>
    <t>Oído en @El_Intermedio Pablo Casado es como la homeopatía: no tiene estudios que lo avalen.</t>
  </si>
  <si>
    <t>Catedrático de Matemática Aplicada en la Universidad Politécnica de Madrid.</t>
  </si>
  <si>
    <t>http://dcain.etsin.upm.es/lfjcur.htm</t>
  </si>
  <si>
    <t>Cosidó, por WhatsApp les dice a sus compañeros que la sala Segunda del Supremo está controlada, les han pillado, pero no parece importarles, Pablo Casado ni lo ha mencionado. Entra dentro de lo normal para el PP, es el día a día, es lo habitual, eso pasó hoy, mañana a otra cosa.</t>
  </si>
  <si>
    <t>Juan Pablo Bellido</t>
  </si>
  <si>
    <t>#DebateCanalSur Molaría que tras la pausa publicitaria esté Pablo Casado en el atril del PP y haga como que nadie se ha dado cuenta</t>
  </si>
  <si>
    <t>https://pbs.twimg.com/media/DsZYgHkX4AEp0Az.jpg</t>
  </si>
  <si>
    <t>Usted está aquí</t>
  </si>
  <si>
    <t>Periodista y profesor universitario. A veces hablo en serio. Cada noche comparto las #portadas de los principales periódicos y las comento en @nshradio</t>
  </si>
  <si>
    <t>http://about.me/jpbellido</t>
  </si>
  <si>
    <t>Cristobal Gil Quiros</t>
  </si>
  <si>
    <t>Las violetas imperiales de Pablo Casado</t>
  </si>
  <si>
    <t>Alcanzada la edad adulta aspiro a ser observador activo y critico con lo que me rodea, lo hermoso conservarlo -transmitirlo,lo injusto sin prepotencia cambiarlo</t>
  </si>
  <si>
    <t>Roberto Martín</t>
  </si>
  <si>
    <t>-¡Cristina, pues no va y me dice Froilán que de mayor quiere ser como Rafa Mora, que ha ganado tres millones de euros y solo tiene el graduado! -Froilán majetón, a parte del graduado, sácate un máster en la Rey Juan Carlos como hicimos Pablo Casado y yo, ¡que es muy fácil!</t>
  </si>
  <si>
    <t>https://pbs.twimg.com/media/DsZXfloXcAASDv0.jpg</t>
  </si>
  <si>
    <t>Dile a Don Bot que dejo el crimen organizado, a partir de ahora me dedicaré sólo al crimen normal. ¡Y todo lo que pasa en el mundo ya lo predijeron Los Simpson!</t>
  </si>
  <si>
    <t>carmen</t>
  </si>
  <si>
    <t>Bueno, ya existía con los Fenicios, los Íberos.. En Vallecas hay una estación de metro llamada Nueva Numancia. En honor a nuestra antigua España que hubo que agrandar, por eso viajamos allende los mares a hacerla mayor, como dice Pablo casado.🤣😦 RT @FatimaDelOlmo: Esto es un no parar... 🤣🤣🤣🤣🤣🤣🤣 Ni Franci en el guion de “Raza” llegaba tan lejos... @NConcostrina ahora mismito te llevo el tarro de sales</t>
  </si>
  <si>
    <t>https://twitter.com/fatimadelolmo/status/1064601346442227712
https://twitter.com/planeterito/status/1063953940209901569</t>
  </si>
  <si>
    <t>Lugburz</t>
  </si>
  <si>
    <t>Es un hecho histórico constatado que los arcabuces de la época disparaban piruletas y confeti. De hecho, Castilla se llamaba en realidad "Reino de la piruleta y los colegas entrañables"</t>
  </si>
  <si>
    <t>Con Sauron se vivía mejor.</t>
  </si>
  <si>
    <t>El Infiltrado</t>
  </si>
  <si>
    <t>Desmontando a PABLO CASADO en 6 sencillos PASOS.</t>
  </si>
  <si>
    <t>https://youtu.be/WbcOau_ZpBA</t>
  </si>
  <si>
    <t>Grupo de periodistas anónimos. Que se propague la verdad. Únete!📡 http://facebook.com/ELINFILTRADOES</t>
  </si>
  <si>
    <t>https://elinfiltrado.info</t>
  </si>
  <si>
    <t>Tetu</t>
  </si>
  <si>
    <t>Aparecen unos nuevos papeles de Bárcenas que habían sido ocultados por interior y Pablo Casado dice que son cosas del pasado. Los papeles los obtuvo la policía y los escondió en 2013 bajo orden ilegal desde el ministerio de interior. Vaya cachondeo.</t>
  </si>
  <si>
    <t>Almegijar, Granada</t>
  </si>
  <si>
    <t>Para todo hay un lado bueno. Se nos conoce por nuestros actos.</t>
  </si>
  <si>
    <t>Podemos Radio</t>
  </si>
  <si>
    <t>#LaRadioDeLaGente ¿Hablas o hablan por ti? http://podemos.info http://facebook.com/radiopodemos http://instituto25m.info/proyectos-mora…</t>
  </si>
  <si>
    <t>https://goo.gl/vTILVF</t>
  </si>
  <si>
    <t>Repoblación 2017</t>
  </si>
  <si>
    <t>@podemos Repoblar Pueblos Abandonados. Unete al #movimientoDarVida Participa @EcoaldeaCanary Mas de 3.000 pueblos están vacíos.</t>
  </si>
  <si>
    <t>https://www.facebook.com/podemosrepoblarpueblos</t>
  </si>
  <si>
    <t>http://lopezbulla.blogspot.com/2018/11/las-violetas-imperiales-de-pablo-casado.html</t>
  </si>
  <si>
    <t>Ramon Parés||*||</t>
  </si>
  <si>
    <t>Vic ||*||</t>
  </si>
  <si>
    <t>Desmontando a PABLO CASADO en 6 sencillos PASOS.:  vía @YouTube</t>
  </si>
  <si>
    <t>Luis Casas Luengo</t>
  </si>
  <si>
    <t>Como los buenos no votemos en mayo, se nos va a la mierda la Unión Europea... avisados estáis: Steve Bannon anuncia su fichaje por Víktor Orban, aliado europeo de Pablo Casado  vía @eldiarioes</t>
  </si>
  <si>
    <t>Extremadura y Madrid. Trabajando en Cáceres</t>
  </si>
  <si>
    <t>http://www.labusca.es</t>
  </si>
  <si>
    <t>Indolenci Patchett</t>
  </si>
  <si>
    <t>Pablo Casado Maso</t>
  </si>
  <si>
    <t>Regis(anagrama per no oblidar mai) 9N Skullture. Quiescent.Pirronista.Psicròfil. Nociceptiu. Cercant un schmurz....</t>
  </si>
  <si>
    <t>http://leyendoamusil.wordpress.com</t>
  </si>
  <si>
    <t>David Rodríguez</t>
  </si>
  <si>
    <t>Gibraltar español, esa gran preocupación ciudadana... la verdad que esta gente del #partidopopular son la mar de cómicos!</t>
  </si>
  <si>
    <t>https://www.lasexta.com/noticias/nacional/elecciones-andalucia/gibraltar-espanol-el-mantra-de-pablo-casado-en-la-campana-para-las-elecciones-de-andalucia-2018-video_201811185bf16cd80cf2c5d6155e70fe.html</t>
  </si>
  <si>
    <t>Pues soy ovetense, y socialdemócrata. Me interesa la política, la música, leer, la bici y el baloncesto. Ldo. en Derecho, máster RRHH y Relaciones Laborales.</t>
  </si>
  <si>
    <t>Foro Ciudadano RM</t>
  </si>
  <si>
    <t>Murcia España</t>
  </si>
  <si>
    <t>Promover el debate público, la participación ciudadana y propuesta de soluciones a problemas políticos, económicos, sociales y culturales de la Región de Murcia</t>
  </si>
  <si>
    <t>http://www.forociudadano.org/</t>
  </si>
  <si>
    <t>Érase un partido a la corrupción pegado, érase una corrupción superlativa, érase una trama muy activa, érase un Supremo muy controlado. Érase un Pablo Casado mal encarado, érase una Cospedal muy pensativa, érase una financiación patas arriba, érase todo un partido enfangado.</t>
  </si>
  <si>
    <t>Denunciado el Fiscal que pidió el archivo del caso Máster de Pablo Casado - Diario16  via @nuzzel</t>
  </si>
  <si>
    <t>http://nzzl.us/CAem3eI</t>
  </si>
  <si>
    <t>ElMundo(After)Tomorrow</t>
  </si>
  <si>
    <t>Sánchez asegura que convocará elecciones "cuando quieran mis huevos morenos". En declaraciones a El Mundo After, Pablo Casado afirmaba "es guapo y lo sabe el muy jodío".</t>
  </si>
  <si>
    <t>https://pbs.twimg.com/media/DsZSpNSXgAA8K9F.jpg</t>
  </si>
  <si>
    <t>Si aún no ha pasado, se lo contamos</t>
  </si>
  <si>
    <t>🎗MONTORNESCO✊</t>
  </si>
  <si>
    <t>Le quedan dos telediarios para que diga que los de La Manada no violaron a una desconocida, sino que hacían su círculo de amistades más grande.</t>
  </si>
  <si>
    <t>Springfield de Montornés</t>
  </si>
  <si>
    <t>IRONISTA TITULADO EN LA REY JUAN CARLOS. TRACTORIANO DESDE EL 1/10/17. Animalista. El último en salir de ESPAÑA que cierre la puerta. Apa, adéu!</t>
  </si>
  <si>
    <t>http://elperiodi.co/c63e51</t>
  </si>
  <si>
    <t>Informació, participació i conversa amb El Periódico, el diari de referència de Catalunya. Si voleu seguir-nos en castellà som a @elperiodico, en castellano</t>
  </si>
  <si>
    <t>http://www.elperiodico.cat</t>
  </si>
  <si>
    <t>Lose Never Heztrim</t>
  </si>
  <si>
    <t>Pablo Casado: "Nosotros no colonizabamos, nosotros hacíamos una España más grande."</t>
  </si>
  <si>
    <t>pic.twitter.com/qfLC4V5lSE</t>
  </si>
  <si>
    <t>Forjaz, Dun Morogh, Khaz Modan</t>
  </si>
  <si>
    <t>Casteaba para @DreamHackSpain y @ESLspain. Técnico de Streaming/Realizador en @eSEvents_es. A veces estoy en @OGSeries_es. Contacto: loseloth@esevents.com</t>
  </si>
  <si>
    <t>http://twitch.tv/loseloth</t>
  </si>
  <si>
    <t>#ElIntermedio Pablo Casado y sus compis de la derecha Ultra Cs y los NAZIS de Vox en campaña x Andalucía, como los dejen, se lian a cañonazos x Gibraltar 😂😂 "esto me recuerda cuando Aznar y Trillo nos metieron en la guerra x la isla de Perejil"😂😂😂😂</t>
  </si>
  <si>
    <t>https://pbs.twimg.com/media/DsZQPRkXoAABVbz.jpg</t>
  </si>
  <si>
    <t>Octavio Ochoa</t>
  </si>
  <si>
    <t>Gracias a Pablo Casado, líder emergente de la política española. RT @richsar46: Ojala algun politico de la oposicion Venezolana.hablara tan claro como este Sr. ESPAÑA y VENEZUELA...países hermanos atacados por el socialismo. CASADO - el nuevo líder del centro-derecha español - ataca a Sánchez y Zapatero por hacer daño a Venezuela.</t>
  </si>
  <si>
    <t>https://twitter.com/richsar46/status/1064478116104548352</t>
  </si>
  <si>
    <t>pic.twitter.com/fY2Az7p0Tt</t>
  </si>
  <si>
    <t>Miranda, Venezuela</t>
  </si>
  <si>
    <t>Ahí están los muros, gracias a las puertas, se puede usar la casa. Así pues, la riqueza proviene de lo que existe, Pero lo valioso proviene de lo que no existe</t>
  </si>
  <si>
    <t>SERGIO</t>
  </si>
  <si>
    <t>“Pablo Casado es como la homeopatía, no hay estudios que los avalen “</t>
  </si>
  <si>
    <t>intagram: @sergiogalledon</t>
  </si>
  <si>
    <t>JuanMa Fdez</t>
  </si>
  <si>
    <t>Eso que dijo Pablo Casado de “nosotros no colonizábamos, hacíamos una España más grande”, me suena a aquello que dijo cierto alemán de buscar “espacio vital”. 🧐🧐🧐</t>
  </si>
  <si>
    <t>Madrid - Almendralejo</t>
  </si>
  <si>
    <t>Periodista. Iniciando @Bluper, medio especializado en TV | Armando JALEOS en @elespanolcom | Antes en Cazamariposas, Vanitatis, 20 Minutos</t>
  </si>
  <si>
    <t>http://www.bluper.es</t>
  </si>
  <si>
    <t>Pablo Casado le pregunta a las gente si le han llegado las ayudas a los malagueños,a los de Huelva,hace 4 dias de las tormentas,y lo de Lorca Pablo no se acuerda del terremoto,sin presupuestos quiere mandar ayudas,quizas la culpa la tenga el de que lleguen mas tarde,x sus presupu RT @Newtral: .@JuanMa_Moreno ha prometido bajar "el impuesto de actos jurídicos documentados del máximo en el que está ahora, 1,5% al 0,1% que lo tiene la Comunidad de Madrid" El dato NO es cierto. El tipo general de la Comunidad de Madrid es el 0,75% #debateCanalSur</t>
  </si>
  <si>
    <t>https://twitter.com/Newtral/status/1064622128576831488</t>
  </si>
  <si>
    <t>https://pbs.twimg.com/media/DsZMCaBXoAY7H_v.jpg</t>
  </si>
  <si>
    <t>PABLO CASADO ES COMO LA HOMEOPATIA. NO HAY ESTUDIOS QUE LO AVALEN. Wyoming dixit.</t>
  </si>
  <si>
    <t>DeliLop</t>
  </si>
  <si>
    <t>#elintermedio Pablo Casado colonizando también Andalucia🤯🤯🤯 El siempre colonizando......es decir cagandola,x q tanto colonizar tiene el colon irritable.....💩💩</t>
  </si>
  <si>
    <t>https://pbs.twimg.com/media/DsZPfYSXgAANjU4.jpg</t>
  </si>
  <si>
    <t>la vida me obliga a aprender cada día para no quedarme atrás,amo la naturaleza,la música,la pintura,el cine,la fotografia y mi familia siempre💜💜SiSePuede</t>
  </si>
  <si>
    <t>Raquel Jaquez</t>
  </si>
  <si>
    <t>Me parrrto. XD</t>
  </si>
  <si>
    <t>https://www.google.es/amp/s/m.huffingtonpost.es/amp/2018/11/17/pablo-casado-los-espanoles-no-colonizabamos-lo-que-haciamos-era-tener-una-espana-mas-grande_a_23592393/</t>
  </si>
  <si>
    <t>Citizen &amp; activist at @amnesty. #HumanRights #NoDeathPenalty #ChildrenRights #RefugeesWelcome #Equality #SocialJustice #Empowerment #FreedomOfSpeech #Diversity</t>
  </si>
  <si>
    <t>https://m.facebook.com/profile.php?id=145247678954411</t>
  </si>
  <si>
    <t>Mily Losada</t>
  </si>
  <si>
    <t>Pablo Casado es como la homeopatía...no hay estudios que lo avalen 😂😂😂😂😂😂 @G_Wyoming @El_Intermedio</t>
  </si>
  <si>
    <t>Soy como soy --- Santiago de Compostela-Don Benito</t>
  </si>
  <si>
    <t>Juan Carballeira</t>
  </si>
  <si>
    <t>¿En que se parece Pablo Casado a la homeopatía? En que ambos no tienen estudios que los avalen.</t>
  </si>
  <si>
    <t>Jallejo de Jalisia</t>
  </si>
  <si>
    <t>Javier Karlsson</t>
  </si>
  <si>
    <t>Según Pablo Casado, el Imperio español no colonizó, sino que se hizo más grande. Bien.</t>
  </si>
  <si>
    <t xml:space="preserve">Murcia, España, Europa </t>
  </si>
  <si>
    <t>Estudiante de Derecho en la @UMU.</t>
  </si>
  <si>
    <t>Gemma Pagà</t>
  </si>
  <si>
    <t>"Pablo Casado es como la homeopatía,no hay estudios que lo avalen" 🤣🤣#elintermedio</t>
  </si>
  <si>
    <t>"Travel, do yoga, learn, repeat" 🌍✈️ English Primary School Teacher (maybe, in the future). 👩‍🎓🇬🇧</t>
  </si>
  <si>
    <t>Fu Fu Ladeallí</t>
  </si>
  <si>
    <t>Pablo casado está haciendo méritos para hacer el programa de humor para fin de año, y es que el club de la comedia se le queda pequeño, qué tío 😂😂😂 #elintermedio</t>
  </si>
  <si>
    <t>Birdland</t>
  </si>
  <si>
    <t>Reírse es bueno para el corazón</t>
  </si>
  <si>
    <t>ainhoa</t>
  </si>
  <si>
    <t>pablo casado diciendo que no colonizamos america sino que queríamos hacer españa mas grande AKJDJDJSKA ridículo</t>
  </si>
  <si>
    <t>jordan dun stan</t>
  </si>
  <si>
    <t xml:space="preserve"> + i hope tyler is feeling the happiest today</t>
  </si>
  <si>
    <t>https://twitter.com/alfredgarcia</t>
  </si>
  <si>
    <t>elquenosecalla</t>
  </si>
  <si>
    <t>#elintermedio "Pablo Casado es como la homeopatía, no hay estudios que le avalen" , buenisimo</t>
  </si>
  <si>
    <t>...y no se callará, seguiré mostrando todo lo que pasa, que se sepa.</t>
  </si>
  <si>
    <t>Yurena Sabio</t>
  </si>
  <si>
    <t>'Pablo Casado es como la homeopatía, no hay estudios que lo avalen.'' Que grandes @El_Intermedio</t>
  </si>
  <si>
    <t>Tan fácil como complicarse...✨ Pesesín🐠</t>
  </si>
  <si>
    <t>https://www.instagram.com/yurenasabio/</t>
  </si>
  <si>
    <t>Rafael Montesinos</t>
  </si>
  <si>
    <t>Grande @ThegreatWyoming (y valga la redundancia) “Pablo Casado es como la homeopatía,... no hay estudios que lo avalen” ¡¡ja,ja,ja!!</t>
  </si>
  <si>
    <t>Sigo siendo un aprendiz,... y hasta las narices de ver la corrupción política y empresarial de este país.</t>
  </si>
  <si>
    <t>Pablo Casado, rechazó la “pésima negociación” que ha tenido el Gobierno de Pedro Sánchez respecto a la región de Gibraltar en el conflicto de la Unión Europea con #ReinoUnido  @pablocasado_ @sanchezcastejon @PPopular @PSOE</t>
  </si>
  <si>
    <t>http://ow.ly/x3bm30mFHL4</t>
  </si>
  <si>
    <t>https://pbs.twimg.com/media/DsZOb0JXcAAwalU.jpg</t>
  </si>
  <si>
    <t>Pedro Badía</t>
  </si>
  <si>
    <t>Pablo Casado es el candidato a la presidencia de la Junta de Andalucía.</t>
  </si>
  <si>
    <t>Activista social</t>
  </si>
  <si>
    <t>http://pedrobadia.wordpress.com</t>
  </si>
  <si>
    <t>Pablo Casado, el defensor de la chirla. Como nombre artístico, lo veo. Como defensor de las trabajadoras, ya tal.</t>
  </si>
  <si>
    <t>✪kin</t>
  </si>
  <si>
    <t>"Pablo Casado es como la homeopatía, no hay estudios que le avalen" #ElIntermedio</t>
  </si>
  <si>
    <t>Mi patria en mis zapatos.</t>
  </si>
  <si>
    <t>estoy de paso... #BastaDeCasta</t>
  </si>
  <si>
    <t>http://historiaignoradadelahumanidad.wordpress.com/</t>
  </si>
  <si>
    <t>Yesuis</t>
  </si>
  <si>
    <t>Pablo Casado es como la  hay estudios que lo avalan. He de el Intermedio</t>
  </si>
  <si>
    <t>http://xn--homeopata-n5a.no</t>
  </si>
  <si>
    <t>Angela Ferrer🎗️</t>
  </si>
  <si>
    <t>#elintermedio El chiste del día...Pablo Casado es como la homeopatía, que no hay estudios que lo avalen... 😂😂😂😂😂😂😂 #GranWyoming eres un GRANDE</t>
  </si>
  <si>
    <t>Sants, Barcelona</t>
  </si>
  <si>
    <t>Inmenssament i intenssament feliç 👪. Visca Catalunya Lliure ||*|| Llibertat presos polítics 🎗️</t>
  </si>
  <si>
    <t>Villaykorte</t>
  </si>
  <si>
    <t>Dice el Gran Wyoming en @El_Intermedio que Pablo Casado es como la homeopatía:"no hay estudios que lo avalen"</t>
  </si>
  <si>
    <t>Hay ratas que a ratos parecen personas por andar a dos patas.</t>
  </si>
  <si>
    <t>Iñigo Goñi Iradi</t>
  </si>
  <si>
    <t>Pablo Casado no es muy como se dice en euskera betea. Y me apuesto lo q sea que no llega a dos años como secretario general del PP</t>
  </si>
  <si>
    <t>Hernani</t>
  </si>
  <si>
    <t>http://www.facebook.com/inigo.goniiradi</t>
  </si>
  <si>
    <t>Pablo Casado es como la homeopatía, ...no hay estudios que lo avalen</t>
  </si>
  <si>
    <t>Carol</t>
  </si>
  <si>
    <t>Pablo Casado es como la homeopatía, no hay estudios que lo avalen</t>
  </si>
  <si>
    <t>Jurista, fan de @ladygaga ♥️Amo la lasaña y a Johnny Depp♥️ Dolça Catalunya, pàtria del meu cor♥️ Twitter es mi blog.</t>
  </si>
  <si>
    <t>Antifascista.</t>
  </si>
  <si>
    <t>"Pablo Casado es como la Homeopatía...no hay estudios que lo avalen" El gran Wyoming</t>
  </si>
  <si>
    <t>Si luchas puedes perder. Si no, estás perdido.</t>
  </si>
  <si>
    <t>JUAN CARLOS SANCHEZ</t>
  </si>
  <si>
    <t>Extranger Things: Marín defendiendo su gestión de gobierno con Susana Díaz frente a un Juanma Moreno desconcertado sin Pablo Casado 😱😱 #DebateCanalSur</t>
  </si>
  <si>
    <t>Sevilla (Spain)</t>
  </si>
  <si>
    <t>Profesor humanista de la especialidad de medios informáticos en la Escuela de Arte de Sevilla</t>
  </si>
  <si>
    <t>http://productocero.org</t>
  </si>
  <si>
    <t>Iron Sky</t>
  </si>
  <si>
    <t>Esperando a que entre Pablo Casado 🤔 #DebateCanalSur</t>
  </si>
  <si>
    <t>Viviendo la vida, valga la redundancia. [Periodismo en la UMA] [Fui becaria en SER Málaga] 🌼</t>
  </si>
  <si>
    <t>Kant de Palleiro</t>
  </si>
  <si>
    <t>Es a mí solo al que le chirría ese estilo de Pablo Casado de «te estoy vendiendo algo que ni yo mismo me creo pero te lo voy a vender igual porque es mi oficio»?</t>
  </si>
  <si>
    <t>Wenonah, NJ</t>
  </si>
  <si>
    <t>Filosofía de WC a tempo parcial. ¡EU NON FUN O QUE COMEU OS TEUS DEBERES! (Espazo para cita en Latín que me faga parecer máis listo anque seña un cateto)</t>
  </si>
  <si>
    <t>https://pbs.twimg.com/media/DsZMoP3WwAICdM8.jpg</t>
  </si>
  <si>
    <t>Beatrix Kiddo</t>
  </si>
  <si>
    <t>Pablo Casado es un cinéfilo, critica al PSOE primero con Tesis y ahora con Los Otros, asegurando que el Gobierno está muerto pero aún no lo sabe. #ElIntermedio</t>
  </si>
  <si>
    <t>La venganza jamás es una línea recta. Su intrincado puede perderte. En tu propia senda, nunca olvides de dónde saliste.</t>
  </si>
  <si>
    <t>Pablo Casado no puede decir que el es cosa del pasado. Ilegalizar al PP por decreto!!! Los 'papeles de Kitchen' tienen pruebas de la caja B del PP en toda España  vía @elmundoes</t>
  </si>
  <si>
    <t>Denunciado el Fiscal que pidió el archivo del caso Máster de Pablo Casado @diario_16  #19N #EleccionesGenerales #JusticiaEnHuelga #Cosido #Temporal #20N #Franco #FrancoHaVuelto #Transición #Monarquía #República</t>
  </si>
  <si>
    <t>http://www.multiforo.eu/Noticias/2018/Noviembre/Noviembre_19.htm</t>
  </si>
  <si>
    <t>Ah, ¿que el candidato del PP no es Pablo Casado? Primera noticia. RT @EuprepioPadula: Ya ha empezado el #DebateCanalSur. ¿Se habrán leído mi artículo dedicado a las claves para ganar un debate televisado? LA HORA DE ANDALUCÍA. 2-D, CLAVES DEL DEBATE DECISIVO – La Mirada Independiente</t>
  </si>
  <si>
    <t>https://twitter.com/EuprepioPadula/status/1064621264504016899
https://lamiradaindependiente.blog/2018/11/18/la-hora-de-andalucia-2-d-claves-del-debate-decisivo/</t>
  </si>
  <si>
    <t>Otis B. Driftwood</t>
  </si>
  <si>
    <t>Que yo no sé por qué Juanma Moreno está en el debate de Canal Sur. ¿El candidato no era Pablo Casado?</t>
  </si>
  <si>
    <t>München, Teutonia Bávara</t>
  </si>
  <si>
    <t>This is not the pencil of Lewis Jefferson. Proclamo.</t>
  </si>
  <si>
    <t>http://driftwood.librodenotas.com</t>
  </si>
  <si>
    <t>2 TRIPLETES 1SEXTETE</t>
  </si>
  <si>
    <t>Juanma Moreno,solo sabe criticar la gestión del PSOE pero no ofrece propuestas. No me extraña que sea Pablo Casado quien esté haciéndole la campaña. El PP en Andalucía ni está ni se le espera. #DebateCanalSur</t>
  </si>
  <si>
    <t xml:space="preserve">Españistan </t>
  </si>
  <si>
    <t>Por delante del Barça,solo Dios y la familia. Franco resucita que el Madrid te necesita,bueno no resucites si tienen a los árbitros.PRENSA ESPAÑOLA=MANIPULADORA</t>
  </si>
  <si>
    <t>Steve Bannon anuncia su fichaje por Víktor Orban, aliado europeo de Pablo Casado</t>
  </si>
  <si>
    <t>https://www.eldiario.es/internacional/Steve-Bannon-Orban-Pablo-Casado_0_837116460.html</t>
  </si>
  <si>
    <t>Alberto Zotano</t>
  </si>
  <si>
    <t>Primer patinazo de Juanma Moreno. Publicidad a Pablo Casado, habla más de España que de Andalucía. #DebateCanalSur</t>
  </si>
  <si>
    <t>Estudiante de Periodismo en la UMA. Si no comunicas no existes. Ahora en @canalsurmalaga.</t>
  </si>
  <si>
    <t>robertto rsm</t>
  </si>
  <si>
    <t>Yo pensaba que iba a ir Pablo Casado al debate, la decepció! #DebateCanalSur</t>
  </si>
  <si>
    <t>Un aragonés en Andalucía. Luchando por cambiar el mundo de base en @anticapi y @CirculoAljaraqu</t>
  </si>
  <si>
    <t>Maya Yasenova</t>
  </si>
  <si>
    <t>Pablo Casado clausura un mitin en Lucena.  vía @YouTube</t>
  </si>
  <si>
    <t>https://youtu.be/C-GVl1UmN8c</t>
  </si>
  <si>
    <t>✝️Cristiana 💟Del lado de la verdad, sea cual sea, y de la libertad, cueste lo que cueste 🚺Feminista en positivo 👩🏻‍🔬Enfermera 🇧🇬Búlgara y Española🇪🇸</t>
  </si>
  <si>
    <t>La propuesta estrella de Pablo Casado en las elecciones andaluzas es la co-soberanía sobre Gibraltar. Ni siquiera la soberanía. ¡Qué estacazo que nos vamos a dar!. #elintermedio</t>
  </si>
  <si>
    <t>Juan.</t>
  </si>
  <si>
    <t>TRES FIGURAS, MAS GRANDES QUE JAMAS HAN "DISFRUTADO", EN LA DERECHA DE ESPAÑA.....AHÍ VAN, .... Pablo Casado, Teodoro Garcia Egea. Albert Rivera ,y su compañera Ines Arrimadas.......si hay voluntarios, LOS PUEDEN "ADOPTAR", PROVEEROS DE RECIPIENTES, PARA ACUMULAR TODO EL VENENO¡¡</t>
  </si>
  <si>
    <t>Solo deseo, salud, a todas las personas.🍏🍐🍊🍋</t>
  </si>
  <si>
    <t>Munblas!</t>
  </si>
  <si>
    <t>Imágenes inéditas de Pablo Casado informándose sobre cómo tratar con la clase obrera</t>
  </si>
  <si>
    <t>https://pbs.twimg.com/media/DsZHmURXgAA-0_7.jpg</t>
  </si>
  <si>
    <t>Fotografía🌷| Vgc muy a veces | Para ver mi trabajo ⬇⬇⬇⬇⬇⬇⬇⬇</t>
  </si>
  <si>
    <t>http://instagram.com/munblas</t>
  </si>
  <si>
    <t>Salvador Escalona</t>
  </si>
  <si>
    <t>PERDÓN de David Bisbal y Greeicy, por Albert Rivera y Pablo Casado - PARODIA</t>
  </si>
  <si>
    <t>http://youtu.be/5m5p3OeKwyA?a</t>
  </si>
  <si>
    <t>Creador AudioVisual</t>
  </si>
  <si>
    <t>http://www.salvadorescalona.es</t>
  </si>
  <si>
    <t>Los peperos y los Naranjitos dicen que están haciendo campaña en Andalucía pero se pasan el puñetero día hablando de Catalunya. Amigos andaluces, la cruda realidad es que les importáis una mierda y, lo peor de todo, ni siquiera disimulan.</t>
  </si>
  <si>
    <t>https://www.lavanguardia.com/politica/20181118/453010973750/pablo-casado-nuevo-155-catalunya-andalucia-ilegalizar-cup.html</t>
  </si>
  <si>
    <t>Héctor</t>
  </si>
  <si>
    <t>Pablo Casado anuncia aquí un recorte de 3.500 Millones de Euros a todos los españoles para que se lo ahorren principalmente los que más tienen. RT @PPopular: ▶ @pablocasado_: "Me comprometo a suprimir por ley el impuesto de Sucesiones, Donaciones y Patrimonio".</t>
  </si>
  <si>
    <t>https://twitter.com/ppopular/status/1064565431573213187</t>
  </si>
  <si>
    <t>https://pbs.twimg.com/media/DsYYnOkU8AYpbnC.jpg</t>
  </si>
  <si>
    <t>Somos militantes de la vida. Esto es solo el principio...</t>
  </si>
  <si>
    <t>Pablo Tilox 🎸🤘</t>
  </si>
  <si>
    <t>Pablo Casado acusando a Pedro Sánchez de ir buscando el voto marroquí en tres, dos, uno ...</t>
  </si>
  <si>
    <t>No he venido aquí para discutir.</t>
  </si>
  <si>
    <t>http://www.zztop.es</t>
  </si>
  <si>
    <t>Jose Manuel Sanz</t>
  </si>
  <si>
    <t>Pablo Casado simplemente está ampliando el concepto de estupidez</t>
  </si>
  <si>
    <t>39.478202,-0.358568</t>
  </si>
  <si>
    <t>Historiador y sociólogo. Navegando feliz en un nuevo proyecto vital. De izquierdas sin matices pero matizando ;)</t>
  </si>
  <si>
    <t>http://www.josemanuelsanzmolinero.wordpress.com</t>
  </si>
  <si>
    <t>¿Dónde aprendería Pablo Casado lo de la no colonización y lo de que hacíamos más españoles?</t>
  </si>
  <si>
    <t>pic.twitter.com/2ItSqiwO8l</t>
  </si>
  <si>
    <t>Ya veréis que susto los votantes del PP cuando vean al Juanma y no a Pablo Casado #DebateCanalSur</t>
  </si>
  <si>
    <t>Hispaniae Flavia</t>
  </si>
  <si>
    <t>Pablo Casado se suma a la idea del adelanto electoral: "El PP está preparado para ganar"  ....////.... PERO SI OLÉIS A CADAVER DESDE HACE AÑOS ¿QUÉ TONTERÍAS DICES PABLITO. A QUIÉN VAIS A GANAR? ESTÁIS MÁS AHORCADO QUE UN SEIS DOBLE SIN ENGANCHE.</t>
  </si>
  <si>
    <t>https://okdiario.com/general/2018/11/19/casado-suma-idea-del-adelanto-electoral-pp-esta-preparado-ganar-3367348#.W_MY85Hm1UM.twitter</t>
  </si>
  <si>
    <t>https://m.youtube.com/watch?v=pUiAhclmvfE</t>
  </si>
  <si>
    <t>https://www.youtube.com/watch?v=QpAvfmomw2I</t>
  </si>
  <si>
    <t>Jose Avellanas</t>
  </si>
  <si>
    <t>Steve Bannon anuncia su fichaje por Víktor Orban, aliado europeo de Pablo Casado  vía @eldiarioes Cuidado con estos fascistas, su idea es devolver Europa a la Edad Media! #elintermedio #libertad</t>
  </si>
  <si>
    <t>A la mierda? Siga a la Derecha !!</t>
  </si>
  <si>
    <t>Comboy</t>
  </si>
  <si>
    <t>De hecho, Pablo Casado, la Expo de Sevilla Sí se hizo en Huelva también.</t>
  </si>
  <si>
    <t>Rompiendo el fuera de juego.</t>
  </si>
  <si>
    <t>Marcus Law</t>
  </si>
  <si>
    <t>A Pablo Casado sólo le falta el parche y el loro.</t>
  </si>
  <si>
    <t>Escribo para que un día existas. Instagram: @marcosleyley</t>
  </si>
  <si>
    <t>http://marcosleyjimbo.blogspot.com.es/</t>
  </si>
  <si>
    <t>SOMOS Educación</t>
  </si>
  <si>
    <t>Twitter oficial de SOMOS Sindicalistas en el sector Educación educacion@somosindicalistas.es</t>
  </si>
  <si>
    <t>http://www.somossindicalista.es</t>
  </si>
  <si>
    <t>Adonay Potente</t>
  </si>
  <si>
    <t>Que lo escojan Uribe y Pablo Casado RT @saludhernandezm: Cada vez es más urgente un Fiscal ad hoc para el caso Pizano y Odebretch. Pero que no lo escoja la Corte Suprema que tienen intereses propios.</t>
  </si>
  <si>
    <t>https://twitter.com/saludhernandezm/status/1064476337451220992</t>
  </si>
  <si>
    <t>La casa de su madre</t>
  </si>
  <si>
    <t>Lo tengo levantado hacia el señor</t>
  </si>
  <si>
    <t>https://dagume.myportfolio.com/</t>
  </si>
  <si>
    <t>edumenorca</t>
  </si>
  <si>
    <t>" Cariño pon música , pero no me pongas a Wagner , que luego me apetece invadir Polonia" - ·Woody en "Sueños de un seductor"</t>
  </si>
  <si>
    <t>https://www.eljueves.es/news/pablo-casado-propone-invadir-polonia-para-hacer-espana-mas-grande_2959?utm_source=facebook&amp;utm_medium=social&amp;utm_campaign=trafico</t>
  </si>
  <si>
    <t>Es una larga Historia ....</t>
  </si>
  <si>
    <t>http://edumenorca.blogspot.com/</t>
  </si>
  <si>
    <t>diegrotesco</t>
  </si>
  <si>
    <t>Valiente Pablo Casado promoviendo la ilegalización de Vox RT @pablocasado_: En España no puede haber barra libre porque Sánchez necesite el apoyo de los independentistas para seguir en la Moncloa. Hay que ilegalizar a los violentos y evitar que tengan fondos públicos; no se puede seguir la escalada de tensión en Cataluña sin que haya consecuencias.</t>
  </si>
  <si>
    <t>Bípedo, muy ocasionalmente cuadrúpedo. Con bastantes dificultades para definirme.</t>
  </si>
  <si>
    <t>http://es.favstar.fm/users/diegrotesco</t>
  </si>
  <si>
    <t>Elvis Presley vuelve a la vida después de que Pablo Casado diga tres veces seguidas: "¡Viva el Rey!"</t>
  </si>
  <si>
    <t>https://www.eljueves.es/news/elvis-presley-vuelve-a-vida-despues-que-pablo-casado-diga-tres-veces-seguidas-viva-rey_2763</t>
  </si>
  <si>
    <t>Viejo PP, nuevos escándalos: Cosidó, otra piedra en el zapato de Casado</t>
  </si>
  <si>
    <t>http://elperiodi.co/wf5eg1</t>
  </si>
  <si>
    <t>José Javier Abasolo</t>
  </si>
  <si>
    <t>Bilbao, Euskadi</t>
  </si>
  <si>
    <t>Escritor de novela negra y creador de la serie protagonizada por el ex ertzaina Mikel Goikoetxea, "Goiko". Mi última novela (sin Goiko): ASESINOS INOCENTES.</t>
  </si>
  <si>
    <t>http://elblogdeabasolo.blogspot.com.es/</t>
  </si>
  <si>
    <t>Juan Alix</t>
  </si>
  <si>
    <t>Unos fandangos de El Cabrero dedicados con mucho cariño al ilustre flamencólogo Pablo Casado Festival Flamenco de Barcelona  vía @YouTube</t>
  </si>
  <si>
    <t>https://youtu.be/6FCEmAUEMUw</t>
  </si>
  <si>
    <t>¿Reyes? Ni los de la baraja. Salud y República.</t>
  </si>
  <si>
    <t>https://youtu.be/u37RF5xKNq8</t>
  </si>
  <si>
    <t>maria mir-rocafort</t>
  </si>
  <si>
    <t>Es que Pablo Casado y Albert Rivera son ruines RT @Insomnio5155: Es ruin q las elecciones en Andalucía las hayan tomado @pablocasado_ y @CiudadanosCs como un campo experimental para sus futuros.Hacen antipolitica pactando no pactar con el @psoedeandalucia si éste gana.Nos toman como rehenes a los andaluces @mikihoyos @mirrocafort @AmoedoCom</t>
  </si>
  <si>
    <t>https://twitter.com/Insomnio5155/status/1064444122168209408</t>
  </si>
  <si>
    <t>Sort - España</t>
  </si>
  <si>
    <t>Condesa de Triago,Pallars Sobirà Escritora. https://mariamirrocafort.wordpress.com/ https://mariamirrocafortweb.wordpress.com/</t>
  </si>
  <si>
    <t>PP de Isla Cristina</t>
  </si>
  <si>
    <t>Hoy ha visitado la Lonja de Isla Cristina, nuestro Presidente Nacional, Pablo Casado, quién ha recibido con el cariño de muchísimos isleños en esta visita al sector pesquero.</t>
  </si>
  <si>
    <t>https://www.facebook.com/722149024541998/posts/1947763785313843/</t>
  </si>
  <si>
    <t>Isla Cristina, Huelva, España</t>
  </si>
  <si>
    <t>Twitter oficial del Partido Popular de Isla Cristina</t>
  </si>
  <si>
    <t>http://ppdeislacristina.blogspot.com.es</t>
  </si>
  <si>
    <t>Jesús Pérez</t>
  </si>
  <si>
    <t>Cuando quiero aprender historia oigo a Pablo Casado.Paso de la Wikipedia</t>
  </si>
  <si>
    <t>Tenerife - Islas Canarias</t>
  </si>
  <si>
    <t>Ni me creo ni me destruyo, solo me transformo. Mi trabajo y pasión en @jesusperezarte</t>
  </si>
  <si>
    <t>http://laguancha.wordpress.com/</t>
  </si>
  <si>
    <t>FCO MORENO MECO</t>
  </si>
  <si>
    <t>Madrid.       @CFTeoriaCuerdas</t>
  </si>
  <si>
    <t>ICADE Ingeniero Científico y Experto en Física de la Materia y la Energía Autor Teoría Unificada Física de Cuerdas CFD, testada 21 años con éxito</t>
  </si>
  <si>
    <t>http://teoriadecuerdascfd.blogspot.com</t>
  </si>
  <si>
    <t>Pedro F de Castro</t>
  </si>
  <si>
    <t>No es ninguna sorpresa, pero ahonda en la importancia de las próximas elecciones para el futuro de Europa. 'Steve Bannon anuncia su fichaje por Víktor Orban, aliado europeo de Pablo Casado'  vía @eldiarioes</t>
  </si>
  <si>
    <t>Omnia sunt communia. MLG-MAD. Periodista e investigador. Ciudadanía digital /@dieteticadigita / Editor del blog Dietética Digital en @publico_es</t>
  </si>
  <si>
    <t>http://dieteticadigital.net/</t>
  </si>
  <si>
    <t>Samurob1</t>
  </si>
  <si>
    <t>Pablo Casado, sigue la rumba PP? Has reorientado tu "regeneración"? Te recomendaría te esperes, porq lo de la operación "Kitchen" tiene para rato. Unas vacaciones te evitarán reconocer q en tu PP todos los genios cobraban hasta por respirar, pero siempre en negro o en "B"!</t>
  </si>
  <si>
    <t>Manuel Valle</t>
  </si>
  <si>
    <t>Elecciones en Andalucía Pablo Casado con Máster regalado y Albert Rivera con Doctorando falso son los más indicados para hablar de la Educación de los niños en Andalucía.</t>
  </si>
  <si>
    <t>España Spain</t>
  </si>
  <si>
    <t>ana m.garcia morales</t>
  </si>
  <si>
    <t>Pablo Casado firmandome una camiseta de mi apoyo a el.</t>
  </si>
  <si>
    <t>https://www.instagram.com/p/BqX5QduAHyF/?utm_source=ig_twitter_share&amp;igshid=11krhi3im504s</t>
  </si>
  <si>
    <t>huelva</t>
  </si>
  <si>
    <t>Soy onubense y española. Creyente y del PP a mucha honra.</t>
  </si>
  <si>
    <t>Carol Galais</t>
  </si>
  <si>
    <t>Error! Pablo Casado sin ir más lejos! RT @Zalagardera: Creo que no hay bicho con una boca tan inquietante como las lampreas</t>
  </si>
  <si>
    <t>https://twitter.com/Zalagardera/status/1064597772761030656</t>
  </si>
  <si>
    <t>Politóloga con problemas con la autoridad. Lo mismo hago encuestas que dibujitos. Ramón y Cajal en la UAB @cpa_uab</t>
  </si>
  <si>
    <t>http://www.carolgalais.com</t>
  </si>
  <si>
    <t>A lo de Jorge Bustos y Pablo Casado, cómo se le llama? postverdad, postlenguaje, postraciocinio...?</t>
  </si>
  <si>
    <t>PP LUCENA</t>
  </si>
  <si>
    <t>Hace un momento · Visita del Presidente Nacional del Partido Popular, Pablo Casado, a Lucena en imágenes. Primera Parte</t>
  </si>
  <si>
    <t>Lucena (Córdoba) ESPAÑA</t>
  </si>
  <si>
    <t>Somos un partido de Gobierno en esta bella ciudad cordobesa de Lucena. #Lucenanuestrocompromiso #PacoHuertasAlcalde #Cercanía</t>
  </si>
  <si>
    <t>El Gollum</t>
  </si>
  <si>
    <t>Pablo Casado se va a Huelva a decir a los andaluces que Colón salió de Palos de la Frontera a hacer España más grande y Viva España y Viva el Rey y Gibraltar español. De medidas concretas que beneficien a los andaluces ya tal. Y habrá quien le vote...</t>
  </si>
  <si>
    <t>Sant Esteve de les Roures CAT</t>
  </si>
  <si>
    <t>Al meu twitter escric el que em rota. Si t'ho prens en sèrio ja és cosa teva, a mi no em miris!</t>
  </si>
  <si>
    <t>Visita del Presidente Nacional del Partido Popular, Pablo Casado, a Lucena en imágenes. Segunda Parte</t>
  </si>
  <si>
    <t>Cosidó, otra piedra en el zapato de Casado</t>
  </si>
  <si>
    <t>http://elperiodi.co/84qhm1</t>
  </si>
  <si>
    <t>Todas las noticias de la sección de Política de El Periódico @elperiodico. 📢 Síguenos también en Telegram http://telegram.me/elperiodico</t>
  </si>
  <si>
    <t>http://www.elperiodico.com/es/politica</t>
  </si>
  <si>
    <t>Tamarón de la isla</t>
  </si>
  <si>
    <t>Oyes quien fuera el sábado a ver a Pablo Casado,contadme algo... ¿Es campechano?</t>
  </si>
  <si>
    <t>Reír hasta que duela. CNP👮</t>
  </si>
  <si>
    <t>Visita del Presidente Nacional del Partido Popular, Pablo Casado, a Lucena en imágenes. Terecera Parte</t>
  </si>
  <si>
    <t>Visita de Pablo Casado a Lucena en imágenes 1 #VotaJuanmaMoreno #VotaPP</t>
  </si>
  <si>
    <t>Jordi Santonja</t>
  </si>
  <si>
    <t>A que hora es la clase de historia (míting) de Pablo Casado?</t>
  </si>
  <si>
    <t>9 de cada 10 me recomiendan, Hay 1 al que no puedo convencer.</t>
  </si>
  <si>
    <t>El Padre de Brian</t>
  </si>
  <si>
    <t>Congreso del PP donde salió elegido Pablo Casado:</t>
  </si>
  <si>
    <t>https://pbs.twimg.com/media/DsYydcCWwAAn1YG.jpg</t>
  </si>
  <si>
    <t>al fondo a la izquierda</t>
  </si>
  <si>
    <t>El secreto está en la chepa.</t>
  </si>
  <si>
    <t>Álvaro Pastor</t>
  </si>
  <si>
    <t>Más o menos del tamaño de sus cojones</t>
  </si>
  <si>
    <t>La mayor parte de las veces mis opiniones son mias. Otras veces ni eso</t>
  </si>
  <si>
    <t>pedripol</t>
  </si>
  <si>
    <t>Tracatrá</t>
  </si>
  <si>
    <t>de Cádi</t>
  </si>
  <si>
    <t>Una imagen vale más que mil palabrotas. Editorial cartoonist. Dibujo en CTXT. Instagram: pedri.pol</t>
  </si>
  <si>
    <t>http://www.pedripol.com</t>
  </si>
  <si>
    <t>Samu</t>
  </si>
  <si>
    <t>#Conciencia</t>
  </si>
  <si>
    <t>Francisco Rodriguez</t>
  </si>
  <si>
    <t>1) "Controlaremos la Sala Segunda" Hoy publica El Español una noticia escandalosa: el whatsapp de Cosidó a los senadores del PP intentando justificar la entrega del CGPJ a PSOE y Podemos por parte de Pablo Casado:</t>
  </si>
  <si>
    <t>https://www.elespanol.com/espana/politica/20181119/controlaremos-sala-segunda-cosido-justificando-psoe-cgpj/354214577_0.html</t>
  </si>
  <si>
    <t>🇪🇸#Andaluz de nacimiento-#Valenciano de acogida- y #Español ante todo 🇪🇸</t>
  </si>
  <si>
    <t>Fuera de servicio</t>
  </si>
  <si>
    <t>"la poca chicha de Juanma Moreno, un señor de infinita abulia capaz de contagiar apatía a Pablo Casado, que ya es decir"  vía @elespanolcom</t>
  </si>
  <si>
    <t>https://www.elespanol.com/opinion/columnas/20181119/peronismo-lunares/354344566_13.html</t>
  </si>
  <si>
    <t>Cuenta temporalmente desactivada</t>
  </si>
  <si>
    <t>http://jesusnietojurado.blogspot.com.es/</t>
  </si>
  <si>
    <t>Néstor Mínguez</t>
  </si>
  <si>
    <t>¿Os habéis dado cuenta de que Grindelwald es Pablo Casado?</t>
  </si>
  <si>
    <t>Co-creador de Malvistos, quiropráctico audiovisual, filósofo de la noche, alcohólico no anónimo y muchas más cosas que no sirven para nada.</t>
  </si>
  <si>
    <t>Se busca un hombre en Andalucia,desaparecido desde el 12 de noviembre su compañero Pablo Casado no para de buscarlo x Cadiz,Huelva,Almeria,Cordoba,si alguien lo ve que llame a su amigo,se llama,Juanma Moreno,x si alguien lo ve,#MVTSuperDomingo</t>
  </si>
  <si>
    <t>El líder del PP no se considera un invasor o un colonizador sino un españolizador</t>
  </si>
  <si>
    <t>antonio jesus ruano</t>
  </si>
  <si>
    <t>https://okdiario.com/general/2018/11/19/casado-suma-idea-del-adelanto-electoral-pp-esta-preparado-ganar-3367348#.W_MDdi4yZSo.twitter</t>
  </si>
  <si>
    <t>publicitario,agricultor</t>
  </si>
  <si>
    <t>Pablo Casado es el q está haciendo la campaña del PP en Andalucia, esta en todos los sitios a todas las horas, Juanma Moreno, el candidato a la Junta de Andalucía está desaparecido. Ahora bien, como el PP tenga un mal resultado, Pablo Casado le corta la cabeza a Juanma Moreno.</t>
  </si>
  <si>
    <t>Alhambra FdezReinoso</t>
  </si>
  <si>
    <t>Un juego para echar la tarde, a ver quién encuentra una foto en el Twitter de Pablo Casado con el Candidato del PP por Andalucía, venga que es entretenido #MVTSuperDomingo @iescolar @MVTARDE @mmendizabal1 @hilariopino poquito le va a durar cuando pierda</t>
  </si>
  <si>
    <t>en la Luna, sola.</t>
  </si>
  <si>
    <t>Soñando</t>
  </si>
  <si>
    <t>El fin de semana, Pablo Casado viajó a Andalucía en AVE, Albert Rivera en coche y Pedro ZpSánchez en un avión privado por 9.000 euros.</t>
  </si>
  <si>
    <t>Español del País Vasco, viviendo en Madrid, monárquico y liberal.</t>
  </si>
  <si>
    <t>AlbRoca</t>
  </si>
  <si>
    <t>Pablo Casado en plan vacilón diciendo Gibraltar español !! jajajajaja cuando envíen a la Royal Navy se cagan todos 💩🇪🇸💩 #EleccionesAndalucia</t>
  </si>
  <si>
    <t>https://www.elconfidencial.com/tecnologia/2017-04-10/gibraltar-armada-britanica-espana-brexit_1364155/</t>
  </si>
  <si>
    <t>La Perla Negra</t>
  </si>
  <si>
    <t>No soporto los taladros de buena mañana.</t>
  </si>
  <si>
    <t>http://solucionadordecagadas.com</t>
  </si>
  <si>
    <t>roberto soriano</t>
  </si>
  <si>
    <t>¿El que se presenta para presidente de Andalucía es Pablo Casado? Yo pensaba que era un tal JuanMa!#Andalucia</t>
  </si>
  <si>
    <t>Sagunto, (Valencia)</t>
  </si>
  <si>
    <t>ECOlogista, PAZifista y AntiCorruptos. Electricista, estudiante, socio GREENPEACE, seguidor EQUO y PODEMITA. Upcycling 7R Reducir+Reutilizar+Reciclar ♻️</t>
  </si>
  <si>
    <t>🔸◾ J u l i o  G a r c o ◾🔸</t>
  </si>
  <si>
    <t>Pablo Casado en Isla Cristina justo el día después de que me venga yo a Sevilla. VAMOOOOOOS</t>
  </si>
  <si>
    <t>Isla Cristina, España</t>
  </si>
  <si>
    <t>Dos décadas (ya me jodería). @hulahxp para bajones. Referente de canciones Disney épicas según @luciglez1999 http://curiouscat.me/juliogarco</t>
  </si>
  <si>
    <t>http://swsiblog.blogspot.com</t>
  </si>
  <si>
    <t>La historia según Pablo Casado via @El_Plural</t>
  </si>
  <si>
    <t>https://www.elplural.com/opinion/los-calvitos/la-historia-segun-pablo-casado_206557102</t>
  </si>
  <si>
    <t>Héctor Morales</t>
  </si>
  <si>
    <t>Esto se lo enseñaron en la URJC, ¿no? Vaya estupidez.</t>
  </si>
  <si>
    <t>Canario (y por extensión, español). UDLP y Granca por afición. Me río de todo. Imbécil. Políticamente incorrecto. Friki. Aún no he madurado y nolo haré pronto.</t>
  </si>
  <si>
    <t>Radio ρ</t>
  </si>
  <si>
    <t>Fan total de la nueva directiva del PP. Son una parodia de sí mismos. Muy satisfecho de haber apoyado a Pablo Casado desde el principio, no me ha defraudado. ¡Viva el rey! ¡Gibraltar español! RT @TeoGarciaEgea: España debe mantenerse en una posición firme frente al brexit. Gibraltar Español.</t>
  </si>
  <si>
    <t>https://twitter.com/TeoGarciaEgea/status/1064155290059399170
https://twitter.com/elmundoes/status/1064140291010166785</t>
  </si>
  <si>
    <t>Ciencia y divergencia.</t>
  </si>
  <si>
    <t>http://RadioRho.blogspot.com</t>
  </si>
  <si>
    <t>Valeria A.</t>
  </si>
  <si>
    <t>He escuchado un fragmento del discurso de Pablo Casado en Andalucía y me ha asaltado una vergüenza ajena que pensaba imposible. 🤦🏼</t>
  </si>
  <si>
    <t>Sassari-Italy/Salamanca-Spain</t>
  </si>
  <si>
    <t>A sardinian lady in a spanish town. Breathing &amp; learning since 1983... ♋</t>
  </si>
  <si>
    <t>Canalcosta Tv</t>
  </si>
  <si>
    <t>Hoy hablamos de las inundaciones en la Costa por las fuertes lluvias del domingo, la visita del presidente del PP, Pablo Casado, a la provincia, la huelga de los médicos de Atención Primaria y de los actos de campaña de Independientes #Huelva , entre otros temas. A las 20.30</t>
  </si>
  <si>
    <t>pic.twitter.com/55Zw3ay3F2</t>
  </si>
  <si>
    <t>La televisión líder de la Costa y el Área Metropolitana de Huelva</t>
  </si>
  <si>
    <t>http://www.canalcostatv.es</t>
  </si>
  <si>
    <t>Athenean Venture</t>
  </si>
  <si>
    <t>El Jueves  Pablo Casado propone invadir Polonia  para hacer España más grande</t>
  </si>
  <si>
    <t>https://nzzl.us/uPQInkP
http://photocontact.blogspot.com/2013/07/amenaza-fantasma-208365-pieza-separada.html
http://photocontact.blogspot.com.es/2016/03/influencers-traffic.html</t>
  </si>
  <si>
    <t>Ribeira</t>
  </si>
  <si>
    <t>barcos buques yates piratas petroleros desastres navales Prestige Alakrana Keny Cosmos Athenian Venture Sinaloa Australis #Syntagma</t>
  </si>
  <si>
    <t>http://agaricus.eresmas.net/vspeciosa.htm</t>
  </si>
  <si>
    <t>Piur 🍕💿</t>
  </si>
  <si>
    <t>Pablo Casado le está haciendo a Juanma Moreno lo que Pablo Motos a cualquier invitado de ‘El hormiguero’.</t>
  </si>
  <si>
    <t>https://pbs.twimg.com/media/DsYqr98WoAEj4Lr.jpg</t>
  </si>
  <si>
    <t>Quelifornia</t>
  </si>
  <si>
    <t>Textuitera.</t>
  </si>
  <si>
    <t>A Pablo Casado le molestan las batallitas de la guerra de los abuelos pero sólo habla de Gibraltar y Cristóbal Colón.</t>
  </si>
  <si>
    <t>Pablo Casado en una cooperativa de kakis. ¿Sabrá de lo que se trata?</t>
  </si>
  <si>
    <t>Asturiano .</t>
  </si>
  <si>
    <t>El líder del Partido Popular, Pablo Casado, cree que Pedro Sánchez le ha "quitado hierro a la declaración de Ábalos diciendo que ya sabremos cuándo se...</t>
  </si>
  <si>
    <t>https://www.antena3.com/noticias/espana/casado-sobre-posible-adelanto-electoral-video_201811195bf2bb390cf288806d3adaa0.html</t>
  </si>
  <si>
    <t>Y tanto a Rivera, como a Pablo Casado, les faltan grados de madurez y de diplomacia para dedicarse a la política, es más les queda muy grande dirigir Ciudadanos y el PP. A mi entender No dan la talla, No sólo política sino tampoco humana, Sin empatía por nada ni nadie.</t>
  </si>
  <si>
    <t>Albert Rivera y Pablo Casado, No están preparados para la vida política. ¿De qué les sirve tener formación, si No son capaces nada más que de comportarse como niños malcriados, porque el PSOE y el Gobierno No hace lo que ellos quieren? Quiero políticos NO Niños.</t>
  </si>
  <si>
    <t>https://okdiario.com/general/2018/11/19/casado-suma-idea-del-adelanto-electoral-pp-esta-preparado-ganar-3367348#.W_L8-9LSUdA.twitter</t>
  </si>
  <si>
    <t>Pablo Casado tiene los tics al igual que Albert Rivera, de personas intransigentes y nada dialogantes, además de autoritarios, quieren decir al PSOE con quien debe o No dialogar a un partido con 140 años, un par de novatos, que entienden la política desde la crispación</t>
  </si>
  <si>
    <t>Rubén Añón Canedo</t>
  </si>
  <si>
    <t>Pablo Casado viajó a #Andalucía en AVE, Rivera en coche y Sánchez en un avión privado por 9.000 euros.  #España</t>
  </si>
  <si>
    <t>https://okdiario.com/espana/2018/11/19/casado-viajo-andalucia-ave-rivera-coche-sanchez-avion-privado-9-000-euros-3366935</t>
  </si>
  <si>
    <t>Ingeniero, profesor. Cubano, exiliado en España. Amante de la filosofía, la literatura, la pintura y el cine. Sueña con una Cuba libre y democrática.</t>
  </si>
  <si>
    <t>Pablo Casado dice que la Moción de Censura fue destructiva; es cierto la moción de censura sirvió para derribar los muros de la Austeridad y de los recortes de los últimos 7 años, y sirvió para derribar unas políticas antisociales del PP. La moción de censura fue lo correcto.</t>
  </si>
  <si>
    <t>Regulero-Man</t>
  </si>
  <si>
    <t>Me gustaría que Pablo Casado me explicara quiénes son los "andaluces de bien"</t>
  </si>
  <si>
    <t>Comunicación Audiovisual Granada Nijmegen - Países Bajos Beware the memes</t>
  </si>
  <si>
    <t>http://instagram.com/j.maria_d</t>
  </si>
  <si>
    <t>Los de Iglesias consideran “preocupante” la ocultación de patrimonio del elegido por Pablo Casado para el CGPJ</t>
  </si>
  <si>
    <t>https://www.elplural.com/politica/podemos-exige-explicaciones-juez-senador-altava_206632102</t>
  </si>
  <si>
    <t>Carlos H. Echevarría</t>
  </si>
  <si>
    <t>Pablo Casado, sobre que España sea sede del Mundial de fútbol con Marruecos y Portugal: "¿qué pasa, que en el 82 España pudo y ahora no?"</t>
  </si>
  <si>
    <t>pic.twitter.com/F5r2A6Ye2P</t>
  </si>
  <si>
    <t>Periodista calvo. Subdirector de @MVTARDE. Americanadas en @eldiarioes, @laSextaTV e @historiayvida. Made in @FulbrightSpain @FordhamNYC.</t>
  </si>
  <si>
    <t>http://www.americaneo.com</t>
  </si>
  <si>
    <t>Andoni León Sáenz</t>
  </si>
  <si>
    <t>De verdad, volver con el discurso de "Gibraltar español"... Va a resultar peor que su padrino Aznar... Pablo Casado acusa a Pedro Sánchez de "traición" por no exigir "un Gibraltar español"  vía @elmundoes</t>
  </si>
  <si>
    <t>https://www.elmundo.es/andalucia/2018/11/18/5bf1600fe2704ed9718b45f0.html</t>
  </si>
  <si>
    <t>Pedralba, España</t>
  </si>
  <si>
    <t>Graduado en Información y Documentación.</t>
  </si>
  <si>
    <t>NNGG Estepona</t>
  </si>
  <si>
    <t>Este pasado Domingo estuvimos apoyando a Juanma Moreno en un mitin en Algeciras dentro de la campaña para las elecciones andaluzas. Nos acompañó Pablo Casado. #VotaGarantíadeCambio</t>
  </si>
  <si>
    <t>https://pbs.twimg.com/media/DsYkkLHXgAALujT.jpg</t>
  </si>
  <si>
    <t>Calle el Cid 6 29680 Estepona</t>
  </si>
  <si>
    <t>Cuenta Oficial de NNGG Estepona. Presidente: @_pedroramirez_</t>
  </si>
  <si>
    <t>https://www.instagram.com/p/BpEcWJ3llsIgc52QGCEtuRfSHN11hxMkKnz-H00/?utm_source=ig_share_sheet&amp;igshi</t>
  </si>
  <si>
    <t>Luis Romero</t>
  </si>
  <si>
    <t>Hoy en el #DiaMundialDelRetrete es un buen momento para recuperar este vídeo, que hice tiempo atrás, sobre Pablo Casado poniendo el ventilador para esparcir la mierda como modo de defensa.</t>
  </si>
  <si>
    <t>pic.twitter.com/QaRrk6bEZe</t>
  </si>
  <si>
    <t>http://t.me/LibresOpinamos (@LibresOpinamos): https://twitter.com/LibresOpinamos… Nieto e hijo de Republicanos. La República no vendrá sola</t>
  </si>
  <si>
    <t>https://www.youtube.com/channel/UC1hWFGIVDCxG84qeRz-V2fw</t>
  </si>
  <si>
    <t>Charo Brioso</t>
  </si>
  <si>
    <t>Pues si Pablo Casado, deberias haber ido a clase. No se dice curtedad de miras, sino cortedad de miras. Ya ves Y sí colonizamos America aunque a ti no te guste</t>
  </si>
  <si>
    <t>David Ortiz @davo537 Pablo Casado será gilipollas, pero es nuestro gilipollas, un gilipollas marca España que merece respeto, porque gilipollas como Pablo Casado son un símbolo patrio, son gilipollas que refuerzan...</t>
  </si>
  <si>
    <t>https://www.facebook.com/acuetoderivas/posts/2636828743010994</t>
  </si>
  <si>
    <t>JOSE MANUEL MARTINEZ</t>
  </si>
  <si>
    <t>Este no solo estudio poco, sino que ese poco lo hizo en los libros de formacion del espiritu macional de la epoca de su padre. CASADO:"Los españoles no colonizábamos, lo que hacíamos era tener una España más grande"</t>
  </si>
  <si>
    <t>Alcalá de Henares, España</t>
  </si>
  <si>
    <t>Asturiano emigrante en Alcala d H. Respeto sentimientos religiosos individuales y pido respeto para mi ateismo. En EQUO xq me place</t>
  </si>
  <si>
    <t>Leo en un medio de difusión nacional: ante las nuevas revelaciones sobre la caja B del PP extraídas de los manuscritos de Bárcenas sustraídos por Villarejo, una fuente cercana a Pablo Casado ve el asunto “sin especial preocupación”. La noche del 2 de Diciembre saldrán del limbo.</t>
  </si>
  <si>
    <t>Es clarisimo, que Pablo Casado, es el marido de Ignacio Cosido.</t>
  </si>
  <si>
    <t>PP Y PSOE REPARTIENDOSE EL PODER JUDICIAL Polonía TV3: Pedro Sánchez y Pablo Casado se reparten el Poder Judicial... que parodia más real. #AdelanteAndalucía #2D #AdelanteFeministas #AdelanteDosHermamas</t>
  </si>
  <si>
    <t>https://www.facebook.com/wilmer.torres.315/posts/10215598980040356</t>
  </si>
  <si>
    <t>https://www.facebook.com/abogadoabogado.es/videos/275049986530464/</t>
  </si>
  <si>
    <t>jesussantiagolopez</t>
  </si>
  <si>
    <t>Veo que muchos tenéis miedo y asco a Vox. Pero el peligro de verdad está pablo casado y su partido que acabará sacando 8 o 9 millones de votos y recortará en sanidad, pensiones, etc. El abascal ese irá a pintar la mona al parlamento. Si es que va.</t>
  </si>
  <si>
    <t>Pixin por los cuatro costados y de la Real, un PRIVILEGIADO</t>
  </si>
  <si>
    <t>Pablo Casado impartiendo una clase magistral sobre Alta Cocina Judicial. - Y así se cocina la composición del CGPJ para después poder controlar los nombramientos políticos en los tribunales que nos interesan. Al asqueroso engrudo resultante lo llamamos "Independencia Judicial".</t>
  </si>
  <si>
    <t>https://pbs.twimg.com/media/DsYcGAJWsAEfeWF.jpg</t>
  </si>
  <si>
    <t>Pablo Casado: "Nosotros no colonizábamos, lo que hacíamos era tener una España más grande"</t>
  </si>
  <si>
    <t>http://www.youtube.com/watch?v=Xb3vXGAb50w
http://www.veoinfo.com/pablo-casado-nosotros-no-colonizabamos-lo-que-haciamos-era-tener-una-espana-mas-grande/</t>
  </si>
  <si>
    <t>LA REALIDAD DIARIO</t>
  </si>
  <si>
    <t>Pablo Casado cuestiona la validez del voto femenino en determinadas circunstancias, tales como ser mujer y cuando haya democracia.</t>
  </si>
  <si>
    <t>https://pbs.twimg.com/media/DsYbW4zXcAMC66z.jpg</t>
  </si>
  <si>
    <t>Antiguonia</t>
  </si>
  <si>
    <t>Rigor subjetivo.</t>
  </si>
  <si>
    <t>http://www.larealidad23.wordpress.com</t>
  </si>
  <si>
    <t>Pablo Casado: “Nosotros no colonizábamos América, hacíamos una España más grande...” Esta es parte de la herencia recibida 👇👇👇👇👇👇👇👇👇👇👇👇👇 RT @ctxt_es: Guatemala: El líder indígena Bernardo Caal ha sido condenado a 7 años de prisión por oponerse a dos proyectos hidroeléctricos vinculados a empresas de Florentino Pérez.</t>
  </si>
  <si>
    <t>https://twitter.com/ctxt_es/status/1064550869675532294
https://ctxt.es/es/20181114/Politica/22783/Gorka-Castillo-Bernardo-Caal-entrevista-prision--lider-maya-Guatemala-ACS-proyecto-hidroelectrico.htm</t>
  </si>
  <si>
    <t>Paola Garrido</t>
  </si>
  <si>
    <t>#LOSMEMESCATOLICOS #historiaentwitter @IESADAJA @diegomontalvez PPAP nos enseña más que Pablo Casado sobre la historia de España</t>
  </si>
  <si>
    <t>https://pbs.twimg.com/media/DsYbD5kXcAAVcYY.jpg</t>
  </si>
  <si>
    <t>planeta tierra (creo)</t>
  </si>
  <si>
    <t>Me llamo Paola tengo 16 años adoro el anime y los videojuegos mis pasiones son leer y escribir y no se me ocurre más xD</t>
  </si>
  <si>
    <t>Pablo Casado advierte que el PP está preparado para ganar las elecciones generales de los juegos olímpicos del mundial de fútbol.</t>
  </si>
  <si>
    <t>https://pbs.twimg.com/media/DsYY84qW0AElwrs.jpg</t>
  </si>
  <si>
    <t>Carlos Andrés</t>
  </si>
  <si>
    <t>Pablo Casado tampoco fue a clase cuando explicaron la diferencia entre porcentaje y punto porcentual. RT @pablocasado_: Huelva no merece ser la segunda provincia con más paro, ni tener un 11% más que la media nacional; tampoco que sus jóvenes se tengan que ir por falta de oportunidades. No merecen un gobierno de la Junta que tras 40 años no le ha dado nada a esta tierra, sino todo lo contrario.</t>
  </si>
  <si>
    <t>https://twitter.com/pablocasado_/status/1064544567754657792</t>
  </si>
  <si>
    <t>https://pbs.twimg.com/media/DsYFo3RWwAAQLrb.jpg</t>
  </si>
  <si>
    <t>Burlada - Bilbao</t>
  </si>
  <si>
    <t>Tengo inquietudes variadas. Iritzi-emaile noizbait. Usual disclaimers apply.</t>
  </si>
  <si>
    <t>Mariano Alonso</t>
  </si>
  <si>
    <t>Ciudadanos pide explicaciones “urgentes” de Pablo Casado sobre los mensajes de Cosidó  vía @libertaddigital</t>
  </si>
  <si>
    <t>https://www.libertaddigital.com/espana/2018-11-19/ciudadanos-pide-explicaciones-urgentes-de-casado-sobre-los-mensajes-de-cosido-1276628471/</t>
  </si>
  <si>
    <t>Getafe, Comunidad de Madrid</t>
  </si>
  <si>
    <t>Periodista Journalist Corresponsal político y parlamentario en Libertad Digital y esRadio. Antes COPE y LDTV.</t>
  </si>
  <si>
    <t>Paula P</t>
  </si>
  <si>
    <t>Viene a mi lugar de trabajo Pablo Casado a hacerse la fotito mientras me estoy partiendo elnlomo currando y le meto una ostia que lo visto de torero.</t>
  </si>
  <si>
    <t>LEON PATATA</t>
  </si>
  <si>
    <t>Me gusta leer, ir al teatro, salvar ballenas, acariciar gatitos, hacer deporJAJAJA. No. Era por rellenar espacio. Soy rubia. Ya está.</t>
  </si>
  <si>
    <t>Pablo Casado desvelará los candidatos a municipales y autonómicas antes de la Convención Nacional de enero</t>
  </si>
  <si>
    <t>https://bit.ly/2DtIBuS</t>
  </si>
  <si>
    <t>https://pbs.twimg.com/media/DsYWSJ5W0AAhXQ8.jpg</t>
  </si>
  <si>
    <t>Luis Navajas, que pidió el archivo del caso Master de Pablo Casado ha sido denunciado por pedir el archivo del asunto de la hija de Marchena RT @elpidiojsilva: Denunciado el Fiscal que pidió el archivo del #casoMaster de #PabloCasado #casoHijadeMarchena #TribunalSupremo</t>
  </si>
  <si>
    <t>https://twitter.com/elpidiojsilva/status/1064502185961111553
http://diario16.com/denunciado-fiscal-pidio-archivo-del-caso-master-pablo-casado/</t>
  </si>
  <si>
    <t>El teniente fiscal del Tribunal Supremo, Luis Navajas, que pidió el archivo del caso Master de Pablo Casado ha sido denunciado por pedir el archivo del asunto de la hija de Marchena  via @diario_16</t>
  </si>
  <si>
    <t>Donostia Bai 🎗️🌹</t>
  </si>
  <si>
    <t>Han estado en Campo de Gibraltar Pablo Casado y Santiago Abascal, ambos hablando d la "españolidad" de la roca Mejor si sabrian el nivel de paro, pobreza del Campo y porque mas de 6.000 personas pasan a diario a Gibraltar a trabajar Los llanitos no quieren ni oir hablar de españa</t>
  </si>
  <si>
    <t>Alfredo Simón</t>
  </si>
  <si>
    <t>Clan suspende la emisión de lo Lunnis de Leyenda para evitar que Pablo Casado se inspire en ellos para sus mítines</t>
  </si>
  <si>
    <t>https://pbs.twimg.com/media/DsYUqKxX4AEwRXb.jpg</t>
  </si>
  <si>
    <t>Francisco  Quijano</t>
  </si>
  <si>
    <t>Juan L. Méndez Mora</t>
  </si>
  <si>
    <t>Denunciado el Fiscal que pidió el archivo del caso Máster de Pablo Casado El teniente fiscal del Tribunal Supremo, Luis Navajas, que pidió el archivo del caso Master de Pablo Casado ha sido denunciado por pedir el archivo del asunto de la hija de...</t>
  </si>
  <si>
    <t>Cirujano del Aparato Digestivo. Servicio Andaluz de Salud. LA HONESTIDAD ES LA MEJOR POLÍTICA.</t>
  </si>
  <si>
    <t>Denunciado el Fiscal que pidió el archivo del caso Máster de Pablo Casado  vía @diario_16 Que un fiscal equivoque su trabajo y se dedique a defender y archivar casos... muy feo se le pone todo @pablocasado_ @PPopular y además, ahora @Ignacos puaffff</t>
  </si>
  <si>
    <t>Cada día me levanto pensando como Pablo Casado contará las gestas del gran imperio español. He oído rumores que la editorial de "Érase una vez la Historia" va a reescribir sus capítulos basándose en la Historia según Casado</t>
  </si>
  <si>
    <t>esa joya de la cinematografía patria pablo Casado y su adlátere son el sueño swinger de la clase media: un detrito tan homogéneo que es intercambiable sin esfuerzo</t>
  </si>
  <si>
    <t>La sociedad instrumental de la ministra Calviño pone en jaque al Gobierno de Pedro Sánchez: “Pablo Casado pide a Sánchez que comparezca para que explique su doble vara de medir a la hora de pedir responsabilidades: via @abc_es</t>
  </si>
  <si>
    <t>https://www.abc.es/espana/abci-podemos-presiona-gobierno-sociedad-calvino-cosa-pinta-201811191348_noticia.html#ns_campaign=rrss-inducido&amp;ns_mchannel=abc-es&amp;ns_source=tw&amp;ns_linkname=noticia-foto&amp;ns_fee=0</t>
  </si>
  <si>
    <t>.@carloscuestaEM : "Dicen que Casado está anulando el protagonismo de Juanma Moreno... ¿Cómo anular algo que no se tiene? Es mucho más candidato Pablo Casado a años luz de lo que pueda ser Juanma Moreno".</t>
  </si>
  <si>
    <t>David Torres Ruiz</t>
  </si>
  <si>
    <t>Pablo Casado es Jordi el Niño Polla del mundo académico.</t>
  </si>
  <si>
    <t>Escritor. Columnista en Público. Público en general y en la vida.</t>
  </si>
  <si>
    <t>.@montesinospablo : "Hablando con el equipo de campaña de Pablo Casado he percibido que descartan que pueda haber un sorpasso de Ciudadanos al PP en Andalucía. Esto es fundamental para ellos porque se podría extrapolar al ámbito nacional".</t>
  </si>
  <si>
    <t>Jordi Font Comas d'Argemir</t>
  </si>
  <si>
    <t>Es lo típico que dicen los colonizadores, aquellos que imponen la madre patria y luego pierden las colonias no precisamente de forma amistosa Casado: "Los españoles no colonizábamos, lo que hacíamos era tener una España más grande"</t>
  </si>
  <si>
    <t>Periodista en el Dragon Khan de la política catalana. Abans, corresponsal a Ginebra, París i Madrid. Músic permanentment amateur a la cerca de la nota adequada</t>
  </si>
  <si>
    <t>ELPATRIOTA</t>
  </si>
  <si>
    <t>Pablo Casado del PP de España pide Baremos para los Ministros del PSOE y aquí dicen que no sirve 🙄🙄👇 RT @pablocasado_: Sánchez dijo que nunca tendría en su Gobierno nadie con una sociedad instrumental para tener patrimonio y eludir impuestos. Ahora tiene cuatro ministros y una secretaria de Estado en esa situación. Tendrá que explicarlo en el Parlamento. #VotaGarantíadeCambio #VotaPP</t>
  </si>
  <si>
    <t>https://twitter.com/pablocasado_/status/1064525298786598912</t>
  </si>
  <si>
    <t>pic.twitter.com/gvGgoGG0fG</t>
  </si>
  <si>
    <t>En busca de SER SIEMPRE JUSTO, Defendiendo la VIDA, LA LIBERTAD Y LA PROPIEDAD! #GAP #DestrozandoTerengolondrinos</t>
  </si>
  <si>
    <t>Pepo</t>
  </si>
  <si>
    <t>Pablo Casado, si te has reunido con Villarejo a la voz de ya PABLO CASADO DIMISION RT @diario6com: Pablo Casado al igual que Cospedal también se reunió con Villarejo</t>
  </si>
  <si>
    <t>https://twitter.com/diario6com/status/1064263224181149696
http://diario6.com/pablo-casado-al-igual-que-cospedal-tambien-se-reunio-con-villarejo/</t>
  </si>
  <si>
    <t>Terrassa  Barcelona</t>
  </si>
  <si>
    <t>Payno</t>
  </si>
  <si>
    <t>Pobre Hitler, todo el odio recibido por solo intentar aumentar las fronteras de su país xddddd. Hay que reírse por no llorar.</t>
  </si>
  <si>
    <t>https://www.lavanguardia.com/politica/20181117/452992780484/pablo-casado-espana-no-colonizaba-tener-espana-mas-grande.html</t>
  </si>
  <si>
    <t>Tatooine</t>
  </si>
  <si>
    <t>Una vez Louis Tomlinson me felicitó.</t>
  </si>
  <si>
    <t>rm</t>
  </si>
  <si>
    <t>¿quién ha invitado a pablo casado a córdoba? que alguien lo devuelva a la meseta</t>
  </si>
  <si>
    <t>soy otaca y emo, lo peor ''Millenial + español = Pesadilla'' (@patipenaloza) •救済•</t>
  </si>
  <si>
    <t>"Controlaremos la Sala Segunda" Acaso exista algo relacionado con Aznar, M.Rajoy, Pablo Casado, Miss Feria d Albacete, Esperanza Aguirre... ¡Toma! Pero si es el Partido Podrido ¡AL COMPLETO! 30 AÑAZOS d CHAPAPOTE y PONZOÑOSOS, "DANDRUFF" CUTRE y VOMITIVOS CHABACANOS: ¡LA NÁUSEA!</t>
  </si>
  <si>
    <t>Gea</t>
  </si>
  <si>
    <t>Ojalá algún día salgan los del Mundo Today diciendo que Pablo Casado trabaja para ellos y que todo era una broma. RT @irene53508557: Lloran2</t>
  </si>
  <si>
    <t>https://twitter.com/irene53508557/status/1063883874499993600</t>
  </si>
  <si>
    <t>https://pbs.twimg.com/media/DsOsvfcXQAY1IN8.jpg</t>
  </si>
  <si>
    <t>Islas Canarias✈Barcelona</t>
  </si>
  <si>
    <t>Bailando en la cueva</t>
  </si>
  <si>
    <t>https://m.eldiario.es/_31e5622c</t>
  </si>
  <si>
    <t>ignota universe</t>
  </si>
  <si>
    <t>Tengo una duda, ¿cómo se llama ese tipo del PP que aparece en los carteles electorales en Andalucía? Lo digo xq en la campaña sólo sale Pablo Casado.</t>
  </si>
  <si>
    <t>καταλανικά</t>
  </si>
  <si>
    <t>Jo jo jo, menudo contubernio judicial, esto es inaguantable... Denunciado el Fiscal que pidió el archivo del caso Máster de Pablo Casado  via @diario_16</t>
  </si>
  <si>
    <t>🇧🇪🇩🇪🏴󠁧󠁢󠁳󠁣󠁴󠁿</t>
  </si>
  <si>
    <t>Pablo Casado: “Somos los únicos que lo pedimos, un Gibraltar español”  @pablocasado_ @PPopular #PremiosCambio16 #19Nov</t>
  </si>
  <si>
    <t>http://bit.ly/2R0qmS0</t>
  </si>
  <si>
    <t>https://pbs.twimg.com/media/DsYET4XXoAAEapU.jpg</t>
  </si>
  <si>
    <t>PP Asamblea Madrid</t>
  </si>
  <si>
    <t>🎥 En @periodistadigit entrevista a nuestra portavoz adjunta @anai_pb: "El gobierno sectario de Carmena es el que genera todo el caos de Madrid" Aquí podéis ver la vídeo entrevista completa 👉</t>
  </si>
  <si>
    <t>http://bit.ly/2Q6dj3X</t>
  </si>
  <si>
    <t>pic.twitter.com/BZfLwWGgdK</t>
  </si>
  <si>
    <t>Twitter del Grupo Popular de la Asamblea de Madrid. Portavoz @eossoriocrespo. Presidente @angelgarridog.</t>
  </si>
  <si>
    <t>http://www.ppasamblea.es</t>
  </si>
  <si>
    <t>Steve Bannon anuncia su fichaje por Víktor Orban, aliado europeo de Pablo Casado  Lo cuenta @andresgil</t>
  </si>
  <si>
    <t>https://pbs.twimg.com/media/DsYC2sGWoAAcPee.jpg</t>
  </si>
  <si>
    <t>Alfonso Rojo López</t>
  </si>
  <si>
    <t>Entrevista PD / Ana Isabel Pérez: El gobierno sectario de Carmena es el que genera todo el caos de Madrid</t>
  </si>
  <si>
    <t>https://www.periodistadigital.com/politica/partidos-politicos/2018/11/19/ana-isabel-perez-pp-asamblea-madrid-diputada-madrid-central-carmena-pablo-casado-angel-garrido.shtml</t>
  </si>
  <si>
    <t>Director de Periodista Digital. Cuenta Oficial</t>
  </si>
  <si>
    <t>Crescencio</t>
  </si>
  <si>
    <t>Ana Isabel Pérez: "El gobierno sectario de Carmena es el que genera todo el caos de Madrid"  vía @Periodistadigit</t>
  </si>
  <si>
    <t>,Quiero un mundo mejor. Voluntariado de la Comunidad de Madrid, Ayuntamiento de Alcalá de Henares y del Banco de alimentos de Operación KILO</t>
  </si>
  <si>
    <t>MIGUEL</t>
  </si>
  <si>
    <t>*durante el sexo* Ella: quítate eso porfa Pablo casado: *con el retraso mental que lleva encima siempre* ni de coña</t>
  </si>
  <si>
    <t>Alovera</t>
  </si>
  <si>
    <t>A veces hago memes</t>
  </si>
  <si>
    <t>http://Instagram.com/mboiso_</t>
  </si>
  <si>
    <t>prim</t>
  </si>
  <si>
    <t>Pablo Casado por/con la igñesia RT @xulitageta: Pero éste señor no sabe que es público !!!! Pero qué dices @pablocasado_ no es de la iglesia</t>
  </si>
  <si>
    <t>https://twitter.com/xulitageta/status/1064538003945791488
https://twitter.com/_Recuperando/status/1064197608300781570</t>
  </si>
  <si>
    <t>a un país petit i minyó.</t>
  </si>
  <si>
    <t>cercant poesia.Pau per la independència.</t>
  </si>
  <si>
    <t>josemarquesdossantos</t>
  </si>
  <si>
    <t>#Revisionista_e_mentitoso! Casado: "Los españoles no colonizábamos, lo que hacíamos era tener una España más grande"</t>
  </si>
  <si>
    <t>Azeitão, Portugal</t>
  </si>
  <si>
    <t>https://twitter.com/josemssantos</t>
  </si>
  <si>
    <t>http://sociologias-com.blogspot.com/</t>
  </si>
  <si>
    <t>Menéame noticias</t>
  </si>
  <si>
    <t>💬 Mientras, en el universo paralelo de Pablo Casado, éste pide un nuevo 155 en Cataluña y la ilegalización de la CUP (que tiene 0 casos de corrupción, pero oye, que molestan a la derecha). La Ley de Partidos sigue sin cumplirse, pero oye, no...</t>
  </si>
  <si>
    <t>http://www.meneame.net/c/25749060</t>
  </si>
  <si>
    <t>Mallorca</t>
  </si>
  <si>
    <t>Menéame (oficial). Promoción social de noticias. Cuenta que sólo publica las noticias que llegan a portada.</t>
  </si>
  <si>
    <t>http://meneame.net</t>
  </si>
  <si>
    <t>Gibraltar español': el mantra de Pablo Casado en la campaña para las elecciones de Andalucía 2018  vía @</t>
  </si>
  <si>
    <t>https://goo.gl/XPaJPL</t>
  </si>
  <si>
    <t>Pablo Casado al igual que Cospedal también se reunió con Villarejo » Diario 6 . Venga mas mierda este chorra tambien se reunió con el comisario multimillonario Hay q inlegalizar al pp y al psoe son la ruina de España mal vive por su culpa españoles..</t>
  </si>
  <si>
    <t>https://diario6.com/pablo-casado-al-igual-que-cospedal-tambien-se-reunio-con-villarejo/#.W_LR2t4zgyQ.twitter</t>
  </si>
  <si>
    <t>Pεтεя Ðαяlιиg</t>
  </si>
  <si>
    <t>Hoy es una marcha de fascistas. Pero mañana gana las elecciones Pablo Casado o VOX. Y al otro hay que huir del país.</t>
  </si>
  <si>
    <t>;—ᵖᵒᵖᵖʸ˒ ᶻᵒᵉ˒ ᵐᵃᵏᶤ˒ ᶰᵉᵒ˒ ᵐᵃʳᵗᵃ</t>
  </si>
  <si>
    <t>♂ ☞ 𝒫𝑜𝓁𝓁𝓊𝑒𝓁𝑜 𝒹𝑒𝓁 𝟢𝟣' ❛ 𝐼'𝑚 𝑠𝑢𝑟𝑒 𝑡𝘩𝑎𝑡 𝑦𝑜𝑢'𝑟𝑒 𝑛𝑜𝑡 𝑗𝑢𝑠𝑡 𝑎𝑛𝑜𝑡𝘩𝑒𝑟 𝑔𝑖𝑟𝑙, 𝑏𝑒𝑒. ❜ ☙✞ 𝐒𝐥𝐲𝐭𝐡𝐞𝐫𝐢𝐧 ⇆ 𝐀𝐭𝐡𝐞𝐧𝐚</t>
  </si>
  <si>
    <t>José Manuel Sánchez Fornet</t>
  </si>
  <si>
    <t>Cosidó sigue siendo a estas horas portavoz del PP en el Senado. Dice que cuenta con el apoyo de su partido y de su presidente, Pablo Casado. Bien coño, así se hacen las cosas.</t>
  </si>
  <si>
    <t>Mi Biblia, la Declaración Universal de los Derechos Humanos. Agnóstico. Personaje histórico favorito, un revolucionario: Jesús de Nazaret.</t>
  </si>
  <si>
    <t>http://confidencialandaluz.com/author/sanchezfornet/</t>
  </si>
  <si>
    <t>Isaac</t>
  </si>
  <si>
    <t>https://diario6.com/pablo-casado-al-igual-que-cospedal-tambien-se-reunio-con-villarejo/#.W_LQnBEy-jI.twitter</t>
  </si>
  <si>
    <t>Badalona</t>
  </si>
  <si>
    <t>📰📺 @catalancouncil #Catalonia #República 🎗</t>
  </si>
  <si>
    <t>http://consell.republicat.cat/</t>
  </si>
  <si>
    <t>ni1dea</t>
  </si>
  <si>
    <t>el dia que et desmobilitzis estem perduts ¡No Pasarán!</t>
  </si>
  <si>
    <t>Sir. multifandom</t>
  </si>
  <si>
    <t>Que retraso tiene el Pablo Casado.</t>
  </si>
  <si>
    <t>En mi casa desde 1995/04/12</t>
  </si>
  <si>
    <t>Anime, manga, kpop, jpop, visual kei y algo de videojuegos</t>
  </si>
  <si>
    <t>Pablo Casado ha dicho algo coherente. Es broma, le sigue patinando la mandarina.</t>
  </si>
  <si>
    <t>Ceres</t>
  </si>
  <si>
    <t>https://diario6.com/pablo-casado-al-igual-que-cospedal-tambien-se-reunio-con-villarejo/#.W_LNdWTFe9k.twitter</t>
  </si>
  <si>
    <t>Denunciado el Fiscal que pidió el archivo del caso Máster de Pablo Casado - Diario16 (Compartir desde Armorfly Browser)</t>
  </si>
  <si>
    <t>eldario.es 🌐</t>
  </si>
  <si>
    <t>Pablo Casado revisa la Historia Europea en la campaña andaluza: "Los nazis no invadieron Polonia por la fuerza, solo hacían una Alemania más grande"</t>
  </si>
  <si>
    <t>https://pbs.twimg.com/media/DsX5C6jWwAEDzBg.jpg</t>
  </si>
  <si>
    <t>en una sociedad</t>
  </si>
  <si>
    <t>Periodismo a pesar de todo. Colabora: Hazte socio -- Cuenta parodia --</t>
  </si>
  <si>
    <t>http://eldiario.es</t>
  </si>
  <si>
    <t>Ricardo Peregrina</t>
  </si>
  <si>
    <t>Joer, cómo saltan algunos cuando llamas subnormal a Pablo Casado por equiparar a los indepes con los nazis...</t>
  </si>
  <si>
    <t>Un individuo que hace dibujillos en El Jueves</t>
  </si>
  <si>
    <t>http://riquiblog.blogspot.com/</t>
  </si>
  <si>
    <t>Próximamente en las mejores librerías "Historia de España para fachas" de Pablo Casado. Con prólogo de Pío Moa e introducción del facha del megáfono del metro de Valencia</t>
  </si>
  <si>
    <t>Bender El Que Ofende</t>
  </si>
  <si>
    <t>Ignacio Cosidó diciendo "Controlaremos la sala segunda", sumado a la investigación de Kitchen, con los papeles Bárcenas de por medio, es la prueba de que el PP de Pablo Casado y sus másteres en Harvard se ha renovado por completo. Vosotros es que no entendéis de esas cosas.</t>
  </si>
  <si>
    <t>Besa mi brillante culo metálico!</t>
  </si>
  <si>
    <t>Pablo Casado es a la Política lo que el reggeaton es a la Música.</t>
  </si>
  <si>
    <t>VOX Noticias 🇪🇸</t>
  </si>
  <si>
    <t>El okupa Sánchez ha renunciado a cualquier tipo de reclamación sobre Gibraltar a cambio de carguitos en la UE… Pablo Casado habla de "cosoberanía"… ✅ Sólo VOX habla de soberanía completa, de recuperarla sobre Gilbraltar y ofrecer una nueva esperanza👏🏻⚔️🇪🇸 #GibraltarEspañol</t>
  </si>
  <si>
    <t>pic.twitter.com/EXEDbsYirt</t>
  </si>
  <si>
    <t>¡Afíliate o colabora!</t>
  </si>
  <si>
    <t>Perfil oficial de información de @vox_es | Libertad, identidad, soberanía, familia, valores, justicia y democracia | #EspañaLoPrimero</t>
  </si>
  <si>
    <t>https://www.voxespana.es/afiliarse-a-vox</t>
  </si>
  <si>
    <t>Catalunya Ràdio</t>
  </si>
  <si>
    <t>🔊 "Sembla una pel·lícula de mafiosos". Arrimadas demana a Pablo Casado que doni explicacions sobre el whatsapp de Cosidó</t>
  </si>
  <si>
    <t>https://bit.ly/2DM5tXI</t>
  </si>
  <si>
    <t>Twitter oficial de la ràdio nacional de Catalunya. #CatRàdioEsMou #CR35</t>
  </si>
  <si>
    <t>http://www.catradio.cat</t>
  </si>
  <si>
    <t>:-(</t>
  </si>
  <si>
    <t>Si estuvisteis el sábado en el concierto de @laraizband y visteis a un tipo haciendo cánticos como: “Pablo Casado infravalorado” “Santi Abascal tampoco está tan mal” o “Bertín Osborne, lololo lolo lo, Bertín Osborne” que sepáis que todavía está de resaca.</t>
  </si>
  <si>
    <t>Sexador de indies.</t>
  </si>
  <si>
    <t>Pepe Tony</t>
  </si>
  <si>
    <t>alicante</t>
  </si>
  <si>
    <t>Español y alicantino. O viceversa.</t>
  </si>
  <si>
    <t>http://www.flickr.com/photos/25130234@N02/?saved=1</t>
  </si>
  <si>
    <t>Mercedes Prieto</t>
  </si>
  <si>
    <t>PABLO CASADO AHORA HAY QUE DECIR TAMBIÉN VIVA EL REY?CHORIZOS. LO PAGAGARÉIS MUY CAROhttps://www.diariocritico.com/papeles-de-kitchen-hacen-temblar-de-nuevo-al-pp</t>
  </si>
  <si>
    <t>Almería España</t>
  </si>
  <si>
    <t>Sólo existe un sentimiento mayor que el amor hacia la libertad, que es el odio a quien te la quita.</t>
  </si>
  <si>
    <t>JoderQueMalVa</t>
  </si>
  <si>
    <t>https://diario6.com/pablo-casado-al-igual-que-cospedal-tambien-se-reunio-con-villarejo/#.W_LAfEG7pvQ.twitter</t>
  </si>
  <si>
    <t>Mamífer indignat! Algun dia el #15M serà festiu a tot arreu. Contradictoriament també et diria: #vamosamorirtodos abans d'hora.</t>
  </si>
  <si>
    <t>jose Ernesto Moreno</t>
  </si>
  <si>
    <t>Para variar Pablo Casado con su populismo barato, a lo mejor sus asesores de imagen son los del Vice presidente del Consejo de ministros italiano, Mateo Salvini (ultra derecha). RT @iescolar: Casado en Algeciras exige el “Gibraltar español” y acusa a Sánchez del “efecto llamada” a la “pobre gente” inmigrante</t>
  </si>
  <si>
    <t>https://twitter.com/iescolar/status/1064241957810114560
https://m.eldiario.es/_31e5624a</t>
  </si>
  <si>
    <t>Las argumentaciones de Pablo Casado sobre la historia de España me causan las mismas sensaciones que las de los fundamentalistas musulmanes cuando hablan de Al Ándalus, es decir risa y miedo</t>
  </si>
  <si>
    <t>SUNTANNING</t>
  </si>
  <si>
    <t>Fabricante de Solariums con rayos uva y la ultima novedad Solariums con tubos COLAGENO para rejuvenecer la piel</t>
  </si>
  <si>
    <t>http://www.suntanningsl.com</t>
  </si>
  <si>
    <t>Denunciado el Fiscal que pidió el archivo del caso Máster de PABLO CASADO El teniente fiscal del Tribunal Supremo, Luis Navajas, que pidió el archivo del caso Master de PABLO CASADO ha sido denunciado por pedir el archivo DEL ASUNTO DE LA HIJA DE MARCHENA @Diario16</t>
  </si>
  <si>
    <t>https://pbs.twimg.com/media/DsXpE7WX4AA1EdL.jpg</t>
  </si>
  <si>
    <t>Angeles C.</t>
  </si>
  <si>
    <t>Pablo Casado , para que leas que opinan en la "antigua España" RT @pagina12: "No colonizábamos, lo que hacíamos es tener una España más grande” | El pensamiento colonial del PP</t>
  </si>
  <si>
    <t>https://twitter.com/pagina12/status/1064274702410178561
https://www.pagina12.com.ar/156360-no-colonizabamos-lo-que-haciamos-es-tener-una-espana-mas-gra</t>
  </si>
  <si>
    <t>Barcelona , Catalunya</t>
  </si>
  <si>
    <t>Angel (carlos haya)</t>
  </si>
  <si>
    <t>Nací, crecí, reproduje y moriré.</t>
  </si>
  <si>
    <t>Alvaro G Alarcón</t>
  </si>
  <si>
    <t>¿Pablo Casado piensa ir a todas las fábricas de Andalucía? 🤔</t>
  </si>
  <si>
    <t>Málaga, España.</t>
  </si>
  <si>
    <t>Cuenta gestionada por mi equipo. Los tweets que firmo con un A.G.A. al final los escribo yo. Los que no, también.</t>
  </si>
  <si>
    <t>Esmereldo Ceraviejo de Maximo y Litio</t>
  </si>
  <si>
    <t>¿Cuánto falta para que Pablo Casado se coma un HAMÓN?</t>
  </si>
  <si>
    <t>Pezonia</t>
  </si>
  <si>
    <t>—Máster de postgrado en el Colegio de Elemental San Capuntas de los Cirios, promoción 1012-1024. —Máster en prevención de habilidades. —MILF de Tuínter.</t>
  </si>
  <si>
    <t>jordi 0113</t>
  </si>
  <si>
    <t>Este señor se ha bebido el entendimiento.</t>
  </si>
  <si>
    <t>https://m.huffingtonpost.es/amp/2018/11/17/pablo-casado-los-espanoles-no-colonizabamos-lo-que-haciamos-era-tener-una-espana-mas-grande_a_23592393/?__twitter_impression=true</t>
  </si>
  <si>
    <t>class historian - EM RR - Esparreguera - Barcelona - rCDE</t>
  </si>
  <si>
    <t>Techi CF</t>
  </si>
  <si>
    <t>Cual es tu fantasia sexual mas caliente sin realizar... aun? — Hacer una orgía con Pablo Casado, Pedro Sánchez y Gabriel Rufían</t>
  </si>
  <si>
    <t>https://curiouscat.me/CabreraTechiCF/post/710561464?t=1542634015</t>
  </si>
  <si>
    <t>Club de fans per donar suport a Techi, la guanyadora de GH VIP 6 i Presidenta de la Generalitat ♥️</t>
  </si>
  <si>
    <t>http://www.techirepesca.cat</t>
  </si>
  <si>
    <t>jose manuel</t>
  </si>
  <si>
    <t>El partido popular está hundido hasta el cuello, si Pablo casado no es capaz reconducir la situación mal asunto para el pp</t>
  </si>
  <si>
    <t>España mi país, Andalucía mi tierra, Sevilla de nacimiento, viviendo las penurias de un trabajador y padre de 4 hijos maravillosos, estoy satisfecho!!!</t>
  </si>
  <si>
    <t>https://pbs.twimg.com/media/DsXk_6kWsAAPuG4.jpg</t>
  </si>
  <si>
    <t>Eric Voltà Durán 🎗️</t>
  </si>
  <si>
    <t>Imaginad qué pasaría si un alto cargo de ERC/JxC dijera en un chat que controlarán desde atrás la sala donde se decidirá cuántos años pasarán en prisión Pablo Casado y Albert Rivera. Pues eso pasa en España con el PP y el Supremo. "CONTROLAREMOS LA SALA SEGUNDA"...</t>
  </si>
  <si>
    <t>Ripollet, Catalunya</t>
  </si>
  <si>
    <t>Biotecnòleg - UAB (2014-2018). Estudiant del Màster en Nanociència i Nanotecnologia Avançades. Entrenador de Bàsquet a @BSGR1962. Soci d'@omnium</t>
  </si>
  <si>
    <t>Maribel Martinez</t>
  </si>
  <si>
    <t>Una lección de historia para "desasnar" a gañanes como Pablo Casado. Hoy hace 85 años, en la II República mire usted que cosas, las mujeres pudimos votar por primera vez en España.</t>
  </si>
  <si>
    <t>https://pbs.twimg.com/media/DsXiBu8XQAAtHN0.jpg</t>
  </si>
  <si>
    <t>Zaragoza España</t>
  </si>
  <si>
    <t>Mi escenario es la calle y ahí me encontraras trabajando en las luchas en las que creo desde Zaragoza en Común. Feminista, ecologista, de izquierdas. No cambio</t>
  </si>
  <si>
    <t>nomemandescallar5</t>
  </si>
  <si>
    <t>Pablo Casado reclama la ilegalización de Arran: "La kale borroka que está empezando en Cataluña" @elmundoes</t>
  </si>
  <si>
    <t>http://www.elmundo.es/espana/2018/11/16/5bef3941e5fdea79548b45c7.html</t>
  </si>
  <si>
    <t>En búsqueda de los misales perdidos de Catalina. La ultima vez fueron vistos en Andorra. se sospecha que han viajado a 🇨🇭 suiza</t>
  </si>
  <si>
    <t>Esto clama al cielo! Gracias ⁦@Assoc_Atenes⁩ Denunciado el Fiscal que pidió el archivo del caso Máster de Pablo Casado</t>
  </si>
  <si>
    <t>Denunciado el Fiscal que pidió el archivo del caso Máster de Pablo Casado ¿Pues no se porqué...?  vía @diario_16</t>
  </si>
  <si>
    <t>#CorrupciónEnElPP Pablo Casado al igual que Cospedal también se reunió con Villarejo</t>
  </si>
  <si>
    <t>Iñigo S. Ugarte</t>
  </si>
  <si>
    <t>Una breve lección de historia para Pablo Casado sin necesidad de pasar por Harvard.</t>
  </si>
  <si>
    <t>http://www.guerraeterna.com/pablo-casado-contra-la-historia/</t>
  </si>
  <si>
    <t>https://pbs.twimg.com/media/DsXeAseXcAUMlz_.jpg</t>
  </si>
  <si>
    <t>Periodista. I just do things.</t>
  </si>
  <si>
    <t>http://www.guerraeterna.com</t>
  </si>
  <si>
    <t>Ansel</t>
  </si>
  <si>
    <t>No Pablo Casado, que te veo venir, el retrete no lo inventó Españiaaa. Eso sí, habéis conseguido el primer partido retrete. #DiaMundialDelRetrete "Para buscar el origen del retrete debemos viajar unos 4.000 años hacia el pasado, concretamente a la ..."</t>
  </si>
  <si>
    <t>https://www.curiosfera.com/historia-del-inodoro/</t>
  </si>
  <si>
    <t>Socialdemócrata (por tanto, no del PSOE), no independentista. Esperando el advenimiento de satán Rivera. No #LETntos o #REDtarded. Insultos = Silencio | Bloqueo</t>
  </si>
  <si>
    <t>Así está siendo la campaña de Pablo Casado en Andalucía en la que tiene más presencia que el propio candidato a la Junta, que nadie sabe muy bien quien es. Esto les importa Andalucía al PP. #FelizLunes</t>
  </si>
  <si>
    <t>https://m.eldiario.es/politica/Casado-Andalucia-candidato-Juanma-Moreno_0_837116686.html</t>
  </si>
  <si>
    <t>Nazareno</t>
  </si>
  <si>
    <t>Andaaaaa.... Esta es otra que se le ha olvidado que Dª CARMENA ha reducido el defici que dejo Botella de 5.600 millones de €...Entrevista PD / Ana Isabel Pérez: El gobierno sectario de Carmena es el que genera todo el caos de Madrid</t>
  </si>
  <si>
    <t>En el mejor sitio</t>
  </si>
  <si>
    <t>No quiero un florero, quiero a un Jefe del Estado sometido a las voluntad de las urnas. C.C.O.O. Aficionado a la fotografía.</t>
  </si>
  <si>
    <t>PSOE Laguna de Duero</t>
  </si>
  <si>
    <t>http://www.librediariodigital.net/texto-diario/mostrar/1207785/pablo-casado-hare-posible-impedir-salario-minimo-interprofesional-suba-900-euros#.W_Jqw_8o3HA.facebook</t>
  </si>
  <si>
    <t>Laguna de Duero</t>
  </si>
  <si>
    <t>Laguna de Duero. PSOE. Perfil de Twitter del PSOE de Laguna de Duero.</t>
  </si>
  <si>
    <t>http://lagunadeduero.psoe.es</t>
  </si>
  <si>
    <t>Se Puede Almassora</t>
  </si>
  <si>
    <t>Desmontando a Pablo CASADO el actual presidente del PP.</t>
  </si>
  <si>
    <t>https://www.facebook.com/sepuedealmassora/posts/2239254099686392</t>
  </si>
  <si>
    <t>Almazora, España</t>
  </si>
  <si>
    <t>Desde este grupo municipal pretendemos dar voz a la ciudadania para que la gente pueda dar su opinión en el Ayuntamiento. ¿Nos ayudas?</t>
  </si>
  <si>
    <t>https://www.facebook.com/sepuedealmassora/</t>
  </si>
  <si>
    <t>Free Jim</t>
  </si>
  <si>
    <t>Espero que sea consciente de que está manipulando, porque si realmente es así de tonto, España tene un problema gordo.</t>
  </si>
  <si>
    <t>Reserva de la biosfera ferotge. The frontiers are my prisons.</t>
  </si>
  <si>
    <t>Estrella Rucandio</t>
  </si>
  <si>
    <t>Universidad País Vasco</t>
  </si>
  <si>
    <t>Rabasco</t>
  </si>
  <si>
    <t>CATALÀ, Advocat, funcionari públic, generació del 57. ll*ll</t>
  </si>
  <si>
    <t>elperritopiloto</t>
  </si>
  <si>
    <t>Votar a Pablo Casado es votar a un FASCISTA RT @pablocasado_: Votar a Susana Díaz es votar que Sánchez pacte con los independentistas, que los socialistas se reúnan con Otegi y que se manden emisarios a la cárcel para negociar los Presupuestos. Hay que acabar con esta alianza de la ‘S’ al cuadrado. #HackathonXelCambio</t>
  </si>
  <si>
    <t xml:space="preserve">Barcelona, España </t>
  </si>
  <si>
    <t>Canarión en BCN. Enamorado de mi trabajo e incapaz de dejar de buscar nuevos proyectos. Viajar, series, cine, política, deporte...un poco de todo</t>
  </si>
  <si>
    <t>http://Instagram.com/elperritopiloto/</t>
  </si>
  <si>
    <t>Carles Pastor 🎗</t>
  </si>
  <si>
    <t>Denunciado el Fiscal que pidió el archivo del caso Máster de Pablo Casado La mierda siempre gira alrededor de los mismos personajes!  vía @diario_16</t>
  </si>
  <si>
    <t>El Prat de Llobregat-Catalunya</t>
  </si>
  <si>
    <t>Another hour! It's October 18, 2018 at 11:00AM-Cielo en vivo en La Zonilla, El Prat de Ll. Catalunya:https://ift.tt/2om3NKp</t>
  </si>
  <si>
    <t>http://www.avesfotos.eu</t>
  </si>
  <si>
    <t>Pablo Casado propone invadir Polonia para hacer España más grande El líder del PP no se considera un invasor o un colonizador sino un españolizador. El Jueves.</t>
  </si>
  <si>
    <t>https://pbs.twimg.com/media/DsXaU9kWsAAapoV.jpg</t>
  </si>
  <si>
    <t>ERRA</t>
  </si>
  <si>
    <t>Para hacer a España más GRANDE, supongo, aunque sea sólo un poquito.</t>
  </si>
  <si>
    <t>https://www.elnacional.cat/ca/politica/pablo-casado-exhuma-retorica-franquista-reclama-gibraltar-espanyol_325791_102_amp.html?__twitter_impression=true</t>
  </si>
  <si>
    <t>LA VIDA SENSE LLIBERTAT ÉS NOMÉS MECANISME</t>
  </si>
  <si>
    <t>Pablo Casado acusa a Sánchez de Traición por no defender a Gibraltar  noticia periodico</t>
  </si>
  <si>
    <t>http://dlvr.it/Qrb83v</t>
  </si>
  <si>
    <t>https://pbs.twimg.com/media/DsXYz_6UwAEczjL.jpg</t>
  </si>
  <si>
    <t>Humberto Mendoza D</t>
  </si>
  <si>
    <t>Qué dirá el señorito Pablo Casado del caso Kitchen y del enriquecimiento con la casa y los 300.000 euros del presupuesto de seguridad que recibió su padrino Aznar? Cuanto recibiste tu, Pablito?</t>
  </si>
  <si>
    <t>ÜT: 10.509035,-66.881434</t>
  </si>
  <si>
    <t>Abogado en ejercicio Egresado de la UCV</t>
  </si>
  <si>
    <t>ventilleroamori</t>
  </si>
  <si>
    <t>barrio de la ventilla</t>
  </si>
  <si>
    <t>nunca te arrodilles a la fortuna. (séneca).</t>
  </si>
  <si>
    <t>Por pedir el archivo del asunto de la hija de Marchena Denunciado el Fiscal que pidió el archivo del caso Máster de Pablo Casado  vía @diario_16</t>
  </si>
  <si>
    <t>Carme :-)</t>
  </si>
  <si>
    <t>Pueblo Originario</t>
  </si>
  <si>
    <t>LA SEXTA TV - NOTICIAS | Pablo Casado se apunta al revisionismo histórico: "Nosotros no colonizábamos, lo que hacíamos era tener una España más grande"</t>
  </si>
  <si>
    <t>La realitat és la que és, i no és d'un altre manera</t>
  </si>
  <si>
    <t>https://www.lasexta.com/noticias/nacional/elecciones-andalucia/pablo-casado-se-apunta-al-revisionismo-historico-nosotros-no-colonizabamos-lo-que-haciamos-era-tener-una-espana-mas-grande-video_201811175bf050940cf288806d386365.html</t>
  </si>
  <si>
    <t>Tucumán - Argentina</t>
  </si>
  <si>
    <t>Portal de Difusion de Noticias sobre los Fundadores</t>
  </si>
  <si>
    <t>http://www.pueblooriginario.com.ar</t>
  </si>
  <si>
    <t>https://pbs.twimg.com/media/DsXVLRSWoAAj3h4.jpg</t>
  </si>
  <si>
    <t>I</t>
  </si>
  <si>
    <t>Pablo casado con la tontería RT @blissy: 🙆</t>
  </si>
  <si>
    <t>https://twitter.com/blissy/status/1064113382708649985</t>
  </si>
  <si>
    <t>https://pbs.twimg.com/media/DsR9ecwWwAAXtIt.jpg</t>
  </si>
  <si>
    <t>Nunca deixo a ninguén bebendo só.</t>
  </si>
  <si>
    <t>El teniente fiscal del Tribunal Supremo, Luis Navajas, que pidió el archivo del caso Master de Pablo Casado ha sido denunciado por pedir el archivo del asunto de la hija de Marchena...</t>
  </si>
  <si>
    <t>Se rumorea que en la traca final de campaña Pablo Casado recitará de memoria la lista de los reyes godos.</t>
  </si>
  <si>
    <t>Dídac ||*|| ARA REPÚBLICA 🎗🎗🎗🎗</t>
  </si>
  <si>
    <t>Life begins where fear ends.</t>
  </si>
  <si>
    <t>JA ESTEM AUTODETERMINATS DESPRES PATIR UNA VIOLÈNCIA EXTREMA, GRATUITA, INDISCRIMINADA I ANTIDEMOCRÀTICA.</t>
  </si>
  <si>
    <t>Y digo yo🤔 si solo sale en los medios Pablo Casado, Albert Ribera y Arrimadas en la campaña para las elecciones en Andalucía....quienes son sus candidatos? Lo sabe alguien?😳 #EleccionesAndalucía</t>
  </si>
  <si>
    <t>CARLOS MUÑIZ</t>
  </si>
  <si>
    <t>Ana Isabel Pérez: 'El gobierno sectario de Carmena es el que genera todo el caos de Madrid'</t>
  </si>
  <si>
    <t>http://www.periodistadigital.com/politica/partidos-politicos/2018/11/19/ana-isabel-perez-pp-asamblea-madrid-diputada-madrid-central-carmena-pablo-casado-angel-garrido.shtml</t>
  </si>
  <si>
    <t>GALICIA</t>
  </si>
  <si>
    <t>Español, amante del deporte, viajar y muy madridista</t>
  </si>
  <si>
    <t>jorge hernandez</t>
  </si>
  <si>
    <t>Pablo Casado presume en Algeciras de la gestión migratoria del PP  vía @elmundoes</t>
  </si>
  <si>
    <t>https://www.elmundo.es/andalucia/2018/11/19/5bf1c941268e3e13678b459f.html</t>
  </si>
  <si>
    <t>malaga</t>
  </si>
  <si>
    <t>Ha sido Senador Diputado nacional y europeo y Subdelegado del Gobierno en Málaga. Técnico Superior de la Admón de la Seguridad Social</t>
  </si>
  <si>
    <t>http://johermol-mediterraneo.blogspot.com</t>
  </si>
  <si>
    <t>https://twitter.com/pablocasado_/status/1064216138815545344
https://twitter.com/albiol_xg/status/1064185833991954433</t>
  </si>
  <si>
    <t>http://www.librediariodigital.net/texto-diario/mostrar/1207785/pablo-casado-hare-posible-impedir-salario-minimo-interprofesional-suba-900-euros#.W_Kk5rzL5hx.facebook</t>
  </si>
  <si>
    <t>Lola Lopez</t>
  </si>
  <si>
    <t>En serio, no tengo palabras, el diccionario tendra que inventar un nuevo término para definir racista + sinvergüenza + cínico + fascista + supremacista + ... + ... propongo que sea “Casado” #elracismemata</t>
  </si>
  <si>
    <t>https://www.lalertacanal.cat/pablo-casado-els-espanyols-no-colonitzavem-el-que-feiem-era-tenir-una-espanya-mes-gran/</t>
  </si>
  <si>
    <t>Comissionada d'Immigracio, Interculturalitat i Diversitat. Amb el respecte i la curiositat necessària per aprendre d'altres móns i cultures</t>
  </si>
  <si>
    <t>Jorge Diaz</t>
  </si>
  <si>
    <t>Denunciado el Fiscal que pidió el archivo del caso Máster de Pablo Casado  vía @diario_16--Sobran pruebas que demuestran que el tal casado obtuvo el master de forma fraudulenta, ....ergo??</t>
  </si>
  <si>
    <t>planeta diminuto</t>
  </si>
  <si>
    <t>el gato de Schrödinger</t>
  </si>
  <si>
    <t>álex</t>
  </si>
  <si>
    <t>La guerra del abuelo y la conquista del tatarabuelo. Casado blanqueando una vez más el discurso historiográfico franquista (o cómo leer el libro de @gusalares y querer viajar en el tiempo)</t>
  </si>
  <si>
    <t>https://m.huffingtonpost.es/amp/2018/11/17/pablo-casado-los-espanoles-no-colonizabamos-lo-que-haciamos-era-tener-una-espana-mas-grande_a_23592393/?ncid=other_twitter_cooo9wqtham&amp;utm_campaign=share_twitter&amp;__twitter_impression=true</t>
  </si>
  <si>
    <t>News from Nowhere, Nowhere Man</t>
  </si>
  <si>
    <t>Historiador y asaltante de estaciones. Entre la herejía y la norma, la herejía como norma. Prof à @ScPoLyon #PaLante CAS | ENG | FRA</t>
  </si>
  <si>
    <t>https://www.traficantes.net/libros/victoria-y-control-en-el-madrid-ocupado</t>
  </si>
  <si>
    <t>Josep Marce</t>
  </si>
  <si>
    <t>- Volver a aplicar el artículo 155 en Cataluña - Ilegalizar partidos independentistas en Cataluña - Atacar los presupuestos del estado si se aprueban con los partidos independentistas en Cataluña Esto es todo lo que ofrece Pablo Casado y el PP para el bienestar de los andaluces.</t>
  </si>
  <si>
    <t>El passat el vaig esborrar. El futur l'improviso. El meu present ho és tot. ¿I com visc?... Visc!!</t>
  </si>
  <si>
    <t>Pablo Casado también se pasó por el forro las "Primarias" de su Máster y lo obtuvo sin presentar el TFM. ¡Piénsenlo!</t>
  </si>
  <si>
    <t>historia&amp;history</t>
  </si>
  <si>
    <t>¿Os imagináis que los de Izquierda, -perdón, rojos, perdón, zurdos- hicieran el mismo tipo de bromas de este hilo si la amenaza de atentado hubiera sido contra Pablo Casado? Magnífico resultado el de la modélica Transición del 78, sin duda RT @Uvejeje: Os imagináis que lo matan y pasa a la historia como primera presidenta CARMEN CALVO. Más distópico que cuando Biff consigue el almanaque y vuelven a los 80 en Regreso al Futuro 2.</t>
  </si>
  <si>
    <t>https://twitter.com/Uvejeje/status/1060519491090726912
https://twitter.com/randomuser65398/status/1060518617270415360</t>
  </si>
  <si>
    <t>Perfil dedicado a la Historia: novelas, libros, películas. We like History, we talk about History: films, essays, novels...</t>
  </si>
  <si>
    <t>Natalio Blanco</t>
  </si>
  <si>
    <t>¡Canta, oh, musa! Soy todo oídos.</t>
  </si>
  <si>
    <t>http://diario16.com</t>
  </si>
  <si>
    <t>Denunciado el Fiscal que pidió el archivo del caso Máster de Pablo Casado  vía @diario_16 El teniente fiscal dl Supremo Luis Navajas, q pidió el archivo dl caso Master d Pablo Casado ha sido denunciado por pedir el archivo dl asunto de la hija de Marchena</t>
  </si>
  <si>
    <t>Spider Jerusalem</t>
  </si>
  <si>
    <t>Estaba repasando las tonterías que me he perdido este fin de semana y creo que gana, otra vez, Pablo Casado. Empiezo a pensar que este chico es realmente tonto. No porque me caiga mal, sea un mierdas y todo eso, no. Que tiene algún tipo de retraso o algo, vaya.</t>
  </si>
  <si>
    <t>Casi siempre de mal humor, antisocial, malhablado, adicto a todo tipo de drogas y notablemente irascible.</t>
  </si>
  <si>
    <t>Belen de Chocolate</t>
  </si>
  <si>
    <t>El sábado nos visitó @pablocasado_ del @PPopular y ha tenido una gran repercusión en los medios de comunicación.</t>
  </si>
  <si>
    <t>https://www.abc.es/espana/abci-casado-estrena-como-maestro-chocolatero-rute-201811181118_video.html
https://www.radiorute.com/pablo-casado-muestra-en-rute-su-rostro-mas-dulce/
https://www.eldiario.es/politica/Casado-Andalucia-candidato-Juanma-Moreno_0_837116686.html
https://sevilla.abc.es/elecciones/andalucia/sevi-elecciones-andalucia-2018-debate-elecciones-andaluzas-centra-mayoria-estable-cambio-tranquilo-o-pacto-izquierdas-201811131120_noticia.html</t>
  </si>
  <si>
    <t>https://pbs.twimg.com/media/DsXL_rNXgAAv-Dr.jpg</t>
  </si>
  <si>
    <t>Rute (Córdoba)</t>
  </si>
  <si>
    <t>No solo hacemos PASTELES, también hacemos ILUSIONES. Ven a visitarnos!!</t>
  </si>
  <si>
    <t>http://www.gallerosartesanos.com</t>
  </si>
  <si>
    <t>Portal de Cádiz</t>
  </si>
  <si>
    <t>Pablo Casado: "El PP es el único que defiende un Gibraltar español</t>
  </si>
  <si>
    <t>https://www.portaldecadiz.com/provinciacadiz/36954-pablo-casado-el-pp-es-el-unico-que-defiende-un-gibraltar-espanol</t>
  </si>
  <si>
    <t>Cádiz (España)</t>
  </si>
  <si>
    <t>Diario digital | Noticias y actualidad de Cádiz, Carnaval, Semana Santa, Cultura y ocio.</t>
  </si>
  <si>
    <t>http://www.portaldecadiz.com</t>
  </si>
  <si>
    <t>Javier Biosca</t>
  </si>
  <si>
    <t>https://pbs.twimg.com/media/DsXLfIXXoAA7wqi.jpg</t>
  </si>
  <si>
    <t>Geostrategy and international security. Middle East. Journalist eldiario.es. Before: Spanish Embassy USA; Europa Press; 20minutos. PhD candidate Inter Security</t>
  </si>
  <si>
    <t>Mari Carmen Soriano</t>
  </si>
  <si>
    <t>El teniente fiscal del Tribunal Supremo, Luis Navajas, que pidió el archivo del caso Master de Pablo Casado, ha sido denunciado por pedir el archivo del asunto de la hija de Marchena.  vía @diario_16</t>
  </si>
  <si>
    <t>Yeclana en Murcia, Aragón en❤️</t>
  </si>
  <si>
    <t>Angel Ibo</t>
  </si>
  <si>
    <t>Pablo Casado y Pedro Sánchez han firmado un pacto para que Mariano Rajoy no sea enjuiciado. Casado entrega el CGPJ a PSOE y Unidos Podemos y a cambio hay inmunidad política y judicial hacia el ex presidente del Gobierno.</t>
  </si>
  <si>
    <t>https://digitalsevilla.com/2018/11/14/destapan-el-pacto-bipartidista-para-salvar-a-rajoy-de-las-bombas-de-barcenas-durante-la-mocion-de-censura/amp/</t>
  </si>
  <si>
    <t>Puertollano, España</t>
  </si>
  <si>
    <t>💛 De Puertollano, para Puertollano , por Puertollano ,💛 🇦🇹. Organización Provincial de Ciudadanos en C.Real.🍊 Coordinador @cspuertollano.🍊</t>
  </si>
  <si>
    <t>http://ciudadreal.ciudadanos-cs.org/</t>
  </si>
  <si>
    <t>Entrevista PD / @anai_pb: "El gobierno sectario de Carmena es el que genera todo el caos de Madrid" @ppmadrid</t>
  </si>
  <si>
    <t>http://bit.ly/2A8rDiG</t>
  </si>
  <si>
    <t>J. Esteban Mucientes</t>
  </si>
  <si>
    <t>Casado: “Nosotros no colonizábamos, lo que hacíamos era tener una España más grande” Pues haber pagado un par de maravedíes más y la hubieras hecho gigante, mongolo</t>
  </si>
  <si>
    <t>Si acaba en -ado, te lo rimo. Y si no, también. Aunque lo haga forzado. Que rima con colgado.</t>
  </si>
  <si>
    <t>DRY Madrid</t>
  </si>
  <si>
    <t>Las declaraciones de Pablo Casado no son fruto de su ignorancia de la historia. El objetivo del neolider del PP es atraer a sí a todos quienes piensan igual, que la conquista por...</t>
  </si>
  <si>
    <t>https://www.eldiario.es/politica/Casado-Historia-colonizabamos-haciamos-Espana_0_836766521.html</t>
  </si>
  <si>
    <t>Noticias del nodo de Democracia real Ya! en Madrid. No somos mercancía en manos de políticos y banqueros. Dormíamos, despertamos. #SíSePuede</t>
  </si>
  <si>
    <t>http://madrid.democraciarealya.es</t>
  </si>
  <si>
    <t>NO ESPERO AL 28-DIC.PARA DECIR QUE SEGUN LA CAMPAÑA DE PABLO CASADO DEL P.P.EN ANDALUCIA.EL SE PONDRA AL FRENTE DE UNA MARCHA VERDE,PARA(SEGUN EL).DERRIBAR LA VERJA.MI COMENTARIO.DETRAS DE ESA``VERJA´´.HAY UNA GRAN``DEMOCRACIA´´.POR FAVOR,NO QUIERA CONTAMINARLA.CON SU``ESPAÑOLEAR RT @abuelocorajexad: A MI.QUE NO ME ESPEREN,EN ESA ``MARCHA VERDE´´,HACIA ``GIBRALTAR´´.¡SOY DEMOCRATA¡.LOS``PATRIOTEROS´´.QUE DEMUESTREN SU VALENTIA.PERO AL IGUAL,QUE EN EL EJERCITO.¡LA VALENTIA,SE LES SUPONE¡.</t>
  </si>
  <si>
    <t>https://twitter.com/abuelocorajexad/status/1064132245735305216
https://twitter.com/abuelocorajexad/status/1064088795430166529</t>
  </si>
  <si>
    <t>leo bassi</t>
  </si>
  <si>
    <t>"Y porque toda la gente (indios) que huir podía se encerraba en los montes y subía a las sierras huyendo de hombres tan inhumanos, tan sin piedad y tan feroces bestias, extirpadores y capitales enemigos del linaje humano.“ Bartolomé de las Casas 1474-1566</t>
  </si>
  <si>
    <t>Fundador de la Iglesia Patólica de Lavapiés dedicada al culto del Humor y de la Ironía.</t>
  </si>
  <si>
    <t>http://www.leobassi.com</t>
  </si>
  <si>
    <t>Agr Nineta</t>
  </si>
  <si>
    <t>En @elconfidencial: Casado no descarta a Juanma Moreno como futuro ministro del PP, pero primero "como presidente de</t>
  </si>
  <si>
    <t>https://www.elconfidencial.com/elecciones-andalucia/2018-11-16/pablo-casado-juanma-moreno-campana-elecciones-andalucia_1650218/?utm_source=twitter&amp;utm_medium=social&amp;utm_campaign=BotoneraWeb</t>
  </si>
  <si>
    <t>Me preocupa el estado de corrupción. https://angomrue.wordpress.com/ https://www.youtube.com/channel/UCOKdIN4jTaTefA-0bw2p49Q</t>
  </si>
  <si>
    <t>https://twiter.com/agrnineta</t>
  </si>
  <si>
    <t>Pablo Casado se apunta al revisionismo histórico: "Nosotros no colonizábamos, lo que hacíamos era tener una España más grande" Es lo los Nazis llamaban Lebensraum.</t>
  </si>
  <si>
    <t>Barcelona, República Catalana</t>
  </si>
  <si>
    <t>vomo ergo sum</t>
  </si>
  <si>
    <t>NatxoSaenz 🇪🇺</t>
  </si>
  <si>
    <t>Jajajajajajajajajajajajajajajajajajajajajajajajajajajajajajajajajajajajajajajajajajajajajajajajajajajajajajajajajajajajajajajajajajajajajajaja!!!! Pablo Casado hablando de Sanidad Pública Jajajajajajajajajajajajajajajajajajajajajajajajaja</t>
  </si>
  <si>
    <t>SocialistaVasco</t>
  </si>
  <si>
    <t>La Democracia es un pacto permanente entre distintos. Con Dignidad.</t>
  </si>
  <si>
    <t>LolaporDios</t>
  </si>
  <si>
    <t>El presidente del Gobierno reclama a Pablo Casado y Albert Rivera que apoyen el trámite de los Presupuestos porque “un país rico no puede tener trabajadores pobres”.</t>
  </si>
  <si>
    <t>https://bydays.com/sevilla-blog/pedro-sanchez-acusa-a-pp-y-ciudadanos-de-que-ser-responsables-del-ascensode-la-extrema-derecha/</t>
  </si>
  <si>
    <t>En #Sevillaníssimo seleccionamos y publicamos contenidos interesantes, noticias positivas, información útil, notas curiosas y veces divertidas. #SIGUEMEYTESIGO</t>
  </si>
  <si>
    <t>https://bydays.com/sevilla-blog/</t>
  </si>
  <si>
    <t>En @elconfidencial: Casado se confía a las velas de la Esperanza de Triana</t>
  </si>
  <si>
    <t>https://www.elconfidencial.com/elecciones-andalucia/2018-11-16/pablo-casado-partido-popular-mercado-triana-esperanza_1651626/?utm_source=twitter&amp;utm_medium=social&amp;utm_campaign=BotoneraWeb</t>
  </si>
  <si>
    <t>Sinelo</t>
  </si>
  <si>
    <t>SIGUIENDO EL EJEMPLO DE TRIUNFADORES COMO... ¿UCD?: "Pablo Casado en Andalucía: más candidato que Juanma Moreno"</t>
  </si>
  <si>
    <t>https://pbs.twimg.com/media/DsXFK9QWoAE4DWp.jpg</t>
  </si>
  <si>
    <t>Linares, Andalucía</t>
  </si>
  <si>
    <t>Fan del conocimiento y de la belleza; y de la belleza del conocimiento, y del conocimiento de la belleza. Ya sabes de lo que carezco.</t>
  </si>
  <si>
    <t>http://alcantarillasocial.com/author/sinelo1968/</t>
  </si>
  <si>
    <t>Bicho Malo</t>
  </si>
  <si>
    <t>Pablo Casado contra la Historia -</t>
  </si>
  <si>
    <t>La barricada cierra la calle, pero abre el camino</t>
  </si>
  <si>
    <t>Jose Manuel García</t>
  </si>
  <si>
    <t>Casado en Andalucía: más candidato que Juanma Moreno  Este comportamiento casa mal con el lema de "Quien se la juega es Juanma Moreno". Más bien parece que se la juega Pablo Casado, y él lo sabe: si hay batacazo, Feijóo se viene a Madrid.</t>
  </si>
  <si>
    <t>https://www.eldiario.es/_31e5630e</t>
  </si>
  <si>
    <t>El PP eleva el tono para frenar a Vox, a cuyos simpatizantes se dirige ya abiertamente. Pablo Casado aprovechó un mitin en Algeciras para reivindicar la soberanía de Gibraltar y denunciar el “buenismo de la progresía” en inmigración</t>
  </si>
  <si>
    <t>http://ow.ly/9wW330mFnZO</t>
  </si>
  <si>
    <t>http://somosecd.com/hk2iz4</t>
  </si>
  <si>
    <t>aloy-munoz</t>
  </si>
  <si>
    <t>"Nosotros no colonizábamos, hacíamos una España más grande". Pablo Casado</t>
  </si>
  <si>
    <t>https://www.youtube.com/attribution_link?a=li9ZKFPFz44&amp;u=%2Fwatch%3Fv%3DgBj1ZEfTu1o%26feature%3Dshare</t>
  </si>
  <si>
    <t>http://barcelona56.wordpress.com</t>
  </si>
  <si>
    <t>eldiarioInt</t>
  </si>
  <si>
    <t>https://pbs.twimg.com/media/DsWuoI9WkAINRV_.jpg</t>
  </si>
  <si>
    <t>La mejor información internacional de the Guardian, en español. Un proyecto de @eldiarioes y @guardian. Más info: http://www.eldiario.es/redaccion/eldiarioes-The-Guardian-informacion-internacional_6_465163527.html</t>
  </si>
  <si>
    <t>http://theguardian.eldiario.es/</t>
  </si>
  <si>
    <t>Ximo Morante</t>
  </si>
  <si>
    <t>Buenos días @JaumeMayor ,#FelizLunes a pesar de tener que soportar tonterías como ésta..."Casado revisa la Historia de América: "Nosotros no colonizábamos, hacíamos una España más grande".</t>
  </si>
  <si>
    <t>https://pbs.twimg.com/media/DsW-ISuW0AEi6U3.jpg</t>
  </si>
  <si>
    <t>JOSE MANUEL G. M.</t>
  </si>
  <si>
    <t>No calentaros, esto lo tenemos claro millones de personas en este país, pero hay otros tantos que no lo quieren leer por que en el fondo saben que es verdad.</t>
  </si>
  <si>
    <t>Puerto Lumbreras</t>
  </si>
  <si>
    <t>Bufff!</t>
  </si>
  <si>
    <t>Pablo Casado y Albert Rivera muy preocupados por el auge del franquismo en España. Es broma. #FelizLunes</t>
  </si>
  <si>
    <t>Y yo qué sé!.</t>
  </si>
  <si>
    <t>Diego Alejo</t>
  </si>
  <si>
    <t>¡Hombre, Casado! ¿Aquí nos independizamos porque nos iba quedando grande ser tan españoles? ¡Qué parece que el graduado escolar le salió en un paquete de papas!</t>
  </si>
  <si>
    <t>... solo un aficionado... quizá demasiado aficionado. Postrenaterómano. Archivista del lugar de Dont. ¡Samanté! 🙏</t>
  </si>
  <si>
    <t>15MCampamentoAmigo</t>
  </si>
  <si>
    <t>PABLO CASADO CONTRA LA HISTORIA !!!</t>
  </si>
  <si>
    <t>https://www.facebook.com/campamentoamigo15m/posts/1962560213825140</t>
  </si>
  <si>
    <t>Apoyamos, en la medida de nuestras posibilidades, a colectivos movilizados del (y por) el ancho mundo. Creemos en los cuidados</t>
  </si>
  <si>
    <t>https://www.facebook.com/campamentoamigo15m</t>
  </si>
  <si>
    <t>Hablemos Claro</t>
  </si>
  <si>
    <t>https://www.facebook.com/permalink.php?story_fbid=2611224649103857&amp;id=1463862153840118</t>
  </si>
  <si>
    <t>https://www.facebook.com/pages/Hablemos-Claro/1463862153840118?ref=hl</t>
  </si>
  <si>
    <t>https://www.facebook.com/FotografiayRevolution/posts/2093399454076984</t>
  </si>
  <si>
    <t>susi alonso</t>
  </si>
  <si>
    <t>Pablo Casado, en un acto del PP en Córdoba: «La Catedral tiene que seguir administrada por la Iglesia» - Observatorio del Laicismo - Europa Laica</t>
  </si>
  <si>
    <t>https://laicismo.org/?p=189020</t>
  </si>
  <si>
    <t>españa</t>
  </si>
  <si>
    <t>Pablo Casado contra la Historia (Iñigo Sáenz de Ugarte GUERRA ETERNA) - Política - La casa de mi tía</t>
  </si>
  <si>
    <t>http://www.lacasademitia.es/articulo/politica/pablo-casado-historia/20181119084844087100.html</t>
  </si>
  <si>
    <t>Pablo Casado propone hacer una España más grande invadiendo Polonia</t>
  </si>
  <si>
    <t>https://www.eljueves.es/news/pablo-casado-propone-invadir-polonia-para-hacer-espana-mas-grande_2959?utm_source=twitter&amp;utm_medium=social&amp;utm_campaign=trafico</t>
  </si>
  <si>
    <t>Canal4 Ràdio</t>
  </si>
  <si>
    <t>Señor Pablo Casado Blanco, presidente del Partido Popular: ¿Qué es eso de negociar los magistrados que conformarán el Consejo General Poder Judicial con la ministra de Justicia socialista, Dolores Delgado?</t>
  </si>
  <si>
    <t>http://canal4diario.com/2018/11/19/es-mas-de-lo-mismo/</t>
  </si>
  <si>
    <t>📻Radio balear de carácter generalista, que nace con la vocación de entretenimiento y servicio público. Escúchanos en directo➡️http://bit.ly/Canal4RadioDirecto</t>
  </si>
  <si>
    <t>http://www.canal4radio.com/</t>
  </si>
  <si>
    <t>Lucio Molina</t>
  </si>
  <si>
    <t>Sale más mierda de la financiación ilegal del PP con los papeles de la operación Kitchen. Pero no hay mal que por bien no venga: la próxima bandera que encargue Pablo Casado para tapar mierda ya vendrá con certificado de récord Guinness.</t>
  </si>
  <si>
    <t>https://pbs.twimg.com/media/DsW27g0XgAMWjOW.jpg</t>
  </si>
  <si>
    <t>En algún sitio de por aquí.</t>
  </si>
  <si>
    <t>Soy de izquierdas pero que vivan las cadenas. No compro coches con correa.</t>
  </si>
  <si>
    <t>Pablo Casado va al McDonald's e inunda las redes de críticas y mofas</t>
  </si>
  <si>
    <t>https://www.20minutos.es/noticia/3483100/0/pablo-casado-mcdonalds-memes/</t>
  </si>
  <si>
    <t>https://pbs.twimg.com/media/DsW5h5ZWoAAoJPv.jpg</t>
  </si>
  <si>
    <t>El líder del PP, Pablo Casado, ha defendido este domingo la “cosoberanía” de Gibraltar y que los empleados españoles que trabajan en el peñón tengan...</t>
  </si>
  <si>
    <t>https://okdiario.com/espana/2018/11/18/casado-reclama-cosoberania-gibraltar-no-queremos-verja-3364229#.W_KLztBEPbk.facebook</t>
  </si>
  <si>
    <t>Aurorita Gato Arce</t>
  </si>
  <si>
    <t>Pablo Casado, abogado, historiador masterizado, líder indiscutible del Partido Popular y defensor del honor de la patria. Arriba España!!!   RT @protestona1: Pablo Casado, abogado, historiador masterizado, líder indiscutible del Partido Popular y defensor del honor de la patria. Arriba España!!! Vía @orto1941 😂</t>
  </si>
  <si>
    <t>https://twitter.com/protestona1/status/1064434913166966784
https://twitter.com/i/status/1064434913166966784</t>
  </si>
  <si>
    <t>pic.twitter.com/ex3ThfufrT</t>
  </si>
  <si>
    <t>Mi Tele está castigada hasta que diga la verdad</t>
  </si>
  <si>
    <t>https://www.facebook.com/AgorasEnLasPlazasasambleaabierta/</t>
  </si>
  <si>
    <t>José María Puga</t>
  </si>
  <si>
    <t>¿Denunciado al PODRIDO y CORRUPTO SUPREMO el FISCAL CORRUPTO DEL SUPREMO? ¿Estamos tontos? ¿Puede prosperar esto en esa CUEVA DE CORRUPTOS? ¡¡¡¡¡¡¡¡¡¡Pa meá y no echar gota!!!!!!!!!!!!.</t>
  </si>
  <si>
    <t>http://diario16.com/denunciado-fiscal-pidio-archivo-del-caso-master-pablo-casado/?fbclid=IwAR3vWBwAQHZ272cKb1uVzARQ_z8bprA9I1zjcm4zjBgM9mH7j28WdAycs_0</t>
  </si>
  <si>
    <t>Respeto a quien vota a cualquier partido. Desprecio a quien vota a una MAFIOSA BANDA DE LADRONES.</t>
  </si>
  <si>
    <t>Ni un día sin decir tonterías 🤦🏼‍♂️</t>
  </si>
  <si>
    <t>El corporativismo en la Justicia, o la otra forma de golpe al Estado y la Democracia. 👉Denunciado el Fiscal que pidió el archivo del caso Máster de Pablo Casado</t>
  </si>
  <si>
    <t>Francisco Rubira</t>
  </si>
  <si>
    <t>http://dlvr.it/QrZdSW</t>
  </si>
  <si>
    <t>https://pbs.twimg.com/media/DsW1N83U0AAn1HZ.jpg</t>
  </si>
  <si>
    <t>Leading the business development at http://www.elconfidencialdigital.com frubira@elconfidencialdigital.com Working Hard. Party Hard. +34 617 116 766</t>
  </si>
  <si>
    <t>http://www.linkedin.com/in/frubira</t>
  </si>
  <si>
    <t>Andrea Shevchenko</t>
  </si>
  <si>
    <t>Las próximas elecciones europeas serán un antes y un después, y más con estos "seres" deambulando por aquí. O espabilamos o nos lamentaremos: "Steve Bannon anuncia su fichaje por Víktor Orban, aliado europeo de Pablo Casado"  vía @eldiarioes</t>
  </si>
  <si>
    <t>mochilas mochales</t>
  </si>
  <si>
    <t>Ciudad Real Digital</t>
  </si>
  <si>
    <t>Ciudad Real Digital | Noticias | Carmen Quintanilla monta otro "sarao" con mujeres rurales para dar a conocer a Pablo Casado</t>
  </si>
  <si>
    <t>https://ciudadrealdigital.es/noticias/51596/Carmen/Quintanilla/monta/otro/sarao/con/mujeres/rurales/para/dar/a/conocer/a/Pablo/Casado</t>
  </si>
  <si>
    <t>Desde el 2013 con toda la información para el ciudadano de Ciudad Real y provincia. Actualidad, cultura y mucho cine.</t>
  </si>
  <si>
    <t>http://www.ciudadrealdigital.es</t>
  </si>
  <si>
    <t>Por qué hay que leer a @LucioVillegas hasta el final. "En la tierra de Moraíto Chico, de La Paquera, de Antonio Chacón, de Antonio el Pipa, de Chocolate, de Agujetas, de El Torta, de Juan Jambre, a Pablo Casado se le ocurrió citar a Rosalía. Qué malamente</t>
  </si>
  <si>
    <t>https://www.eldiario.es/andalucia/desdeelsur/elecciones_en_Andalucia_2018-2D-Cadiz-Euscadiz_6_837176297.html</t>
  </si>
  <si>
    <t>Paula Guerra Cáceres</t>
  </si>
  <si>
    <t>Casado: "Los españoles no colonizábamos, lo que hacíamos era tener una España más grande".... Cuando te regalan los títulos y no has cogido un libro de historia en tu vida, sueltas frases como esta!!!!</t>
  </si>
  <si>
    <t>La lucha será antirracista o no será. (Sudaca animalista). @sosracismomad</t>
  </si>
  <si>
    <t>Quiquiriquí Popurrí 🐔</t>
  </si>
  <si>
    <t>Escuchado en el programa: Pablo Casado representa la nueva táctica política del PP, conocida como «la de 'sujétame el cubata'». Ejemplo: ¿Pablo, a qué no hay huevos a decir que España no colonizaba, sino que se hacía más grande?</t>
  </si>
  <si>
    <t>https://pbs.twimg.com/media/DsWyvRuWsAAQCMI.jpg</t>
  </si>
  <si>
    <t>Oviedo, Spain</t>
  </si>
  <si>
    <t>Programa de @UnioviRadio locutado por @luciafmartinez, @borjasorga, @mrmojorisin95 y @ElEloyxillo. Propensos a ser cancelados. Lunes de 9 a 10🐔</t>
  </si>
  <si>
    <t>http://asocaura.uniovi.es/</t>
  </si>
  <si>
    <t>.@sanchezcastejon @CasaReal @pablo_casado @Albert_Rivera Por respetar la Constitución Española cuyos capítulos recogen varios de la Declaración Universal de los Derechos Humanos. Es debido a esa actitud que hemos tenido la contestación de todo el mundo... RT @RuthIliana46: Nosotros tenemos telegramas, cartas, fotos, tarjetas de todos, también de la Reina Emerita. Los tenemos por respetar la reconciliación española sin derramamiento de sangre, la transición pacífica, la concordia, la paz..</t>
  </si>
  <si>
    <t>https://twitter.com/RuthIliana46/status/1064450966735470592
https://twitter.com/RuthIliana46/status/1063888340175515649</t>
  </si>
  <si>
    <t>HANSA</t>
  </si>
  <si>
    <t>“Pablo Casado continúa en su cruzada para ensalzar la nación española sin importarle demasiado la historia de España.”  Quizá sería bueno que leyeras algo a @Guerraeterna eh! @pablocasado_ ? Un poco de #historia sobre España, no vendría mal. Se lo aconsejo.</t>
  </si>
  <si>
    <t>https://buff.ly/2A21zFL</t>
  </si>
  <si>
    <t>https://pbs.twimg.com/media/DsWv7WiWkAEAndA.jpg</t>
  </si>
  <si>
    <t>La mierda te arrastra hacia abajo, el dinero fluye hacia arriba. Tienes que saber qué corriente quieres seguir. Tony Soprano</t>
  </si>
  <si>
    <t>http://about.me/soyelhansa1979</t>
  </si>
  <si>
    <t>javier lopez</t>
  </si>
  <si>
    <t>naci,vivi y si quieres saber algo mas pregunta yo te contestare sin mentir palabra de anarka</t>
  </si>
  <si>
    <t>Manuel Huerga</t>
  </si>
  <si>
    <t>Barcelona (Catalunya)</t>
  </si>
  <si>
    <t>Filmmaker</t>
  </si>
  <si>
    <t>http://www.manuelhuerga.com</t>
  </si>
  <si>
    <t>Lucia Blanco Garcia</t>
  </si>
  <si>
    <t>Otro caso aislado... He perdido la cuenta de los casos aislados del PP...ahora Pablo Casado al conocer los papeles Kitchen se desmarca diciendo que son cosas del pasado...se nota que estamos en campaña electoral.</t>
  </si>
  <si>
    <t>https://amp.elmundo.es/espana/2018/11/19/5bf1c398268e3e627c8b4589.html?__twitter_impression=true</t>
  </si>
  <si>
    <t xml:space="preserve">A Coruña </t>
  </si>
  <si>
    <t>Defensora incondicional del Estado de Bienestar y del sistema Público</t>
  </si>
  <si>
    <t>http://loquepiensalucia.blogspot.com.es/</t>
  </si>
  <si>
    <t>“Fuimos la primera nación que venía de un imperio que llamábamos españoles a aquellos que formaron parte de las colonias. Nosotros no colonizábamos, nosotros lo que hacíamos era tener una España más grande. Y...</t>
  </si>
  <si>
    <t>Pablo Casado haciendo un desmarque, al hacerse pública la lista Kitchen, la corrupción es cosa del pasado...días antes diciendo q en su partido nunca ha habido corrupción y que el PP era un ejemplo a seguir...no me extraña que aparezca partidos como VOX</t>
  </si>
  <si>
    <t>Jordi Armadans i Gil</t>
  </si>
  <si>
    <t>Coses que van passant "Steve Bannon anuncia su fichaje por Víktor Orban, aliado europeo de Pablo Casado"  vía @eldiarioes</t>
  </si>
  <si>
    <t>Es piula sobre política, cultura i activisme. I drets humans, conflictes, desarmament i pau. Politòleg, periodista i director @FundiPau (Fundació per la Pau)</t>
  </si>
  <si>
    <t>http://jordiarmadans.wordpress.com/</t>
  </si>
  <si>
    <t>Leonardo Sinvinci</t>
  </si>
  <si>
    <t>Pablo Casado se reunió al menos una vez con el excomisario Villarejo  vía @publico_es</t>
  </si>
  <si>
    <t>https://www.publico.es/politica/cloacas-interior-pablo-casado-reunio-vez-excomisario-villarejo.html</t>
  </si>
  <si>
    <t>Profesor Bellas Artes</t>
  </si>
  <si>
    <t>Jaime Espinar</t>
  </si>
  <si>
    <t>“Pablo Casado, de nuevo en Jerez”  vía @diariodejerez @pablocasado_ @PPopular @AntonioSaldanaM</t>
  </si>
  <si>
    <t>https://www.diariodejerez.es/_4d94d668</t>
  </si>
  <si>
    <t>Derecho y ADE ⚖️ Abogado. Concejal en el Ayuntamiento de Jerez. Presidente de @NNGGJerez</t>
  </si>
  <si>
    <t>Pablo Casado admite que comió con Villarejo y éste amenaza con una "traca final" de grabaciones --</t>
  </si>
  <si>
    <t>https://www.ecorepublicano.es/2018/09/pablo-casado-admite-que-comio-con.html</t>
  </si>
  <si>
    <t>colores</t>
  </si>
  <si>
    <t>La verdad es que por mucho que lo intente ,mi autodefinición como ser humano siempre seria incompleta, juzguen ustedes mismos, sean severos y justos</t>
  </si>
  <si>
    <t>Nieves Concostrina</t>
  </si>
  <si>
    <t>... y venga tontunas.... 🤦🏽‍♀️ Casado: "Los españoles no colonizábamos, lo que hacíamos era tener una España más grande"</t>
  </si>
  <si>
    <t>Periodista. En @laventana y en #CTPFA (Cualquier Tiempo Pasado Fue Anterior) de @La_SER Los sábados, en @NEUDC_RNE</t>
  </si>
  <si>
    <t>http://www.nievesconcostrina.es</t>
  </si>
  <si>
    <t>Яℴ cíℴ  Mℴ rla</t>
  </si>
  <si>
    <t>Que en este país la noticia sea que “las Femen irrumpen en una manifestación FASCISTA en Madrid” y lo “normal” ESA manifestación. La Españifornia que le gusta a Pablo Casado y su amigote Santiago Abascal para “cerrar heridas” nos está quedando preciosa. #FelizLunes</t>
  </si>
  <si>
    <t>https://pbs.twimg.com/media/DsWqrMKW0AAY8JE.jpg</t>
  </si>
  <si>
    <t>Madrid..🚙💨..Galicia</t>
  </si>
  <si>
    <t>❥Pongo lo que me gusta a ⓜⓘ, NO a ⓣⓘ. Cinéfila. Con compañeros en: @kodiario666 http://facebook.com/kodiario/ http://facebook.com/elinmundo/</t>
  </si>
  <si>
    <t>http://facebook.com/kodiario/</t>
  </si>
  <si>
    <t>Nere 💙💛</t>
  </si>
  <si>
    <t>No se está creando un problema que no existe. Que pareces Pablo Casado!! Que haya un movimiento franquista, que haya apología al fascismo, es un problema que existe y que es muy alarmante. #AR19N</t>
  </si>
  <si>
    <t>Amante de libros y series #Evak #Tarjei Necesito viajar como el aire que respiro. GH16 cambió mi vida, al tener la suerte de conoceros. Ya sabéis quiénes sois!❤</t>
  </si>
  <si>
    <t>Hay que tener mucha cara y poca vergüenza para hablar d corruPPción, eso es lo q está haciendo Pablo Casado en Andalucía, él q era Vicesecretario d Rajoy, d un PP condenado por Corrupción esta hablando d la corrupción d los demás sin limpiar aún su partido, Impresentable</t>
  </si>
  <si>
    <t>Bea</t>
  </si>
  <si>
    <t>Por qué será que esto de "Gibraltar español", a parte de ser una vieja cantinela, me recuerda demasiado a "Perejil español"? ¿Qué pasa con la isla Perejil? ¿Es que nadie va a defenderla?</t>
  </si>
  <si>
    <t>https://www.20minutos.es/noticia/3494665/0/pablo-casado-reivindica-gibraltar-espanol-culpa-sanchez-traicion/?utm_source=Twitter-20minutos&amp;utm_medium=Social&amp;utm_campaign=Postlink</t>
  </si>
  <si>
    <t>https://pbs.twimg.com/media/DsWpa2qW0AAuEVg.jpg</t>
  </si>
  <si>
    <t>Somos lo que hacemos para cambiar lo que somos. Por un mundo en el que quepan muchos mundos. Mundu berri bat daramagu bihotzean. Siempre #EnConstrucción</t>
  </si>
  <si>
    <t>Pablo Casado aprovecha las elecciones andaluzas para desviar el foco de la corrupción hacia el PSOE  Informa @mjguemes</t>
  </si>
  <si>
    <t>http://cadenaser.com/ser/2018/11/18/politica/1542566574_140747.html</t>
  </si>
  <si>
    <t>Maria Rosa</t>
  </si>
  <si>
    <t>Tauro, ,me encata leer,escuchar música, la naturaleza,y me sublevan las injusticias</t>
  </si>
  <si>
    <t>http://www.rostauro.es</t>
  </si>
  <si>
    <t>Francisco George</t>
  </si>
  <si>
    <t>Brunete, Madrid, Spain</t>
  </si>
  <si>
    <t>Uno de los administradores del Grupo Manifiesto en Facebook. Vocal de la JDN de @partido_pirata. Liejense,Liegeois,Belgique resident en Espagne 1999</t>
  </si>
  <si>
    <t>http://about.me/franciscogeorge</t>
  </si>
  <si>
    <t>♏️arkus!!</t>
  </si>
  <si>
    <t>Donde esta el tuit de Rosa Diez, pablo Casado, Albert Ribera, condenando la exaltación al terrorismo, y pidiendo la ilegalizacion de la fundación F.Franco después de los hechos de ayer en madrid... A no que solo son para los catalanes esos delitos, para esos no... #fascismoespaña</t>
  </si>
  <si>
    <t>Defendiendo mi CAT, mi tierra, donde han nacido mis hijos,de las falacias de los fascistas y retrógrados que intentan envenenar a la gente de bien #seguim</t>
  </si>
  <si>
    <t>Pablo Casado decía que había que ilegalizar @Arran_jovent por unas pintadas en amarillo. A ver que opina de esto de la #Kitchen que implica a su partido en todo el estado. RT @ElMundoEspana: Los 'papeles de Kitchen' tienen pruebas de la caja B del PP en toda España</t>
  </si>
  <si>
    <t>https://twitter.com/ElMundoEspana/status/1064425010746597376?s=19
https://www.elmundo.es/espana/2018/11/19/5bf1b311268e3e5c418b45ab.html</t>
  </si>
  <si>
    <t>Aritz Parra</t>
  </si>
  <si>
    <t>Steve Bannon anuncia su fichaje por Víktor Orban, aliado europeo de Pablo Casado  via @eldiarioes</t>
  </si>
  <si>
    <t>Associated Press reporter, from China to Spain | 美联社记者 | Periodista de @AP para España y Portugal | Kazetaria | Opinions are mine | aparra@ap.org</t>
  </si>
  <si>
    <t>http://www.ap.org</t>
  </si>
  <si>
    <t>La Virgen María</t>
  </si>
  <si>
    <t>Deseando escuchar la nueva entrega de las escuchas de Pablo Casado con Villarejo. Ya tengo la bolsa de palomitas y la cerveza enfriando.</t>
  </si>
  <si>
    <t>En todas partes</t>
  </si>
  <si>
    <t>Madre de Dios y sin echar un polvo. He venido a desquitarme. Que si el padre fue el José, que si el Dios…(el día que hable) Feminista.</t>
  </si>
  <si>
    <t>“De Andalucía saldrá una derecha distinta y Pablo Casado, probablemente, no será su líder natural.”</t>
  </si>
  <si>
    <t>https://www.libertaddigital.com/opinion/luis-herrero/la-que-se-avecina-86512/</t>
  </si>
  <si>
    <t>Pedrosinmas</t>
  </si>
  <si>
    <t>Hèctor Sanjuan</t>
  </si>
  <si>
    <t>Valencia, capital andaluza. El resultado electoral en Andalucía marcará la estrategia que Pablo Casado seguirá a la hora de escoger candidato en Valencia  via @elmundoes @borras_xavier</t>
  </si>
  <si>
    <t>https://www.elmundo.es/comunidad-valenciana/2018/11/18/5bf04d64ca4741a2148b45ab.html</t>
  </si>
  <si>
    <t>Pare de Júlia i Mar. Periodista i politòleg valencià. Twitter personal que no seguix cap línia editorial. Repiular no vol dir estar d'acord. Escric a @elmundocv</t>
  </si>
  <si>
    <t>http://www.elmundo.es/social/usuarios/hector_sanjuan/</t>
  </si>
  <si>
    <t>Se llama Pablo Casado y tiene parálisis cerebral, gracias al apoyo de profesionales se ha especializado en repostería.</t>
  </si>
  <si>
    <t>https://pbs.twimg.com/media/DsWkiXPWsAAtxqg.jpg</t>
  </si>
  <si>
    <t>Marina Vogel González</t>
  </si>
  <si>
    <t>Hoy, en @A3Noticias, se ha anunciado el "debate a cuatro" para las elecciones andaluzas de hoy. Se ha hablado de Susana Díaz, de Pablo Casado y Juanma Moreno y de la candidata de ciudadanos Teresa Rodríguez, para luego poner imágenes de Albert Rivera.</t>
  </si>
  <si>
    <t>Sevillana sobreviviendo en Barcelona. Me pagan (algo) por hacer un doctorado. Feminista sin remedio. Le doy a to' lo' palo'.</t>
  </si>
  <si>
    <t>Alex el Rojo</t>
  </si>
  <si>
    <t>Steve Bannon anuncia su fichaje por Víktor Orban, aliado europeo de Pablo Casado  Vía @eldiarioes</t>
  </si>
  <si>
    <t>https://pbs.twimg.com/media/DsWjwHvWkAE6zDy.jpg</t>
  </si>
  <si>
    <t>Politólogo, historiador y escritor, pero sólo en mi imaginación.</t>
  </si>
  <si>
    <t>Tower Defense</t>
  </si>
  <si>
    <t>Denunciado el Fiscal que pidió el archivo del caso Máster de Pablo Casado.</t>
  </si>
  <si>
    <t>siempre en la izquierda</t>
  </si>
  <si>
    <t>Es absolutamente cierto que no existen las verdades absolutas</t>
  </si>
  <si>
    <t>#AR19N De verdad, habrá gente que le vote al inepto de Pablo Casado, un inútil que no ha cogido un libro en su vida, y que nuestros jóvenes mas sobresalientes se tengan que ir del país por no tener trabajo???? ES muy triste!!</t>
  </si>
  <si>
    <t>Pablo Casado, abogado, historiador masterizado, líder indiscutible del Partido Popular y defensor del honor de la patria. Arriba España!!! Vía @orto1941 😂</t>
  </si>
  <si>
    <t>Automated Pedreira</t>
  </si>
  <si>
    <t>Pablo Casado está el animal más para que Podemos se los tiempos, es para que vienen dos tallos principales, pero no hay pollaviejas</t>
  </si>
  <si>
    <t>ferreteria</t>
  </si>
  <si>
    <t>Sexo entre ancianos</t>
  </si>
  <si>
    <t>Canal4 Televisió</t>
  </si>
  <si>
    <t>Señor Pablo Casado Blanco, presidente del Partido Popular:</t>
  </si>
  <si>
    <t>La televisió autonòmica privada de les Illes Balears. L'alternativa, plural. Pel suport social real, a través de l'opinió i participació!</t>
  </si>
  <si>
    <t>https://m.facebook.com/profile.php?id=586021274767533</t>
  </si>
  <si>
    <t>Teresa García Sena</t>
  </si>
  <si>
    <t>Elecciones Andalucía 2018: Pablo Casado presume en Algeciras de la gestión migratoria del PP | Andalucía</t>
  </si>
  <si>
    <t>Candidata del PP Valencia al Congreso</t>
  </si>
  <si>
    <t>Falbala</t>
  </si>
  <si>
    <t>M.Á. Perales🇪🇺🇪🇸</t>
  </si>
  <si>
    <t>Hoy escribo para los amigos de @Abierto_PP sobre Pablo Casado y los porqués de la preeminencia de la política exterior durante su liderazgo del @PPopular. 👇🏼 RT @Abierto_PP: 🆕 post 👇🏻 🖍️ @pablocasado_ y el exterior por @mpera4 🔘</t>
  </si>
  <si>
    <t>https://twitter.com/Abierto_PP/status/1064428574764122113
https://abiertopp.es/pablo-y-el-exterior/</t>
  </si>
  <si>
    <t>https://pbs.twimg.com/media/DsWbc6yXgAEmgx3.jpg</t>
  </si>
  <si>
    <t>Praga, República Checa</t>
  </si>
  <si>
    <t>📚 Ciencias Políticas y Administración​ - @CanalUGR 🌍 Diplomado en Altos Estudios Internacionales por SEI / @URJC 🇪🇺🇨🇿Intern at @top09cz International Office</t>
  </si>
  <si>
    <t>PilarLuelMerchan</t>
  </si>
  <si>
    <t>LOS HECHOS NO DEJAN DE EXISTIR POR QUE SEAN IGNORADOS #DDHH</t>
  </si>
  <si>
    <t>http://apdhcro.org</t>
  </si>
  <si>
    <t>Fernando Martínez</t>
  </si>
  <si>
    <t>Iñaki Gabilondo: El otro gran misterio político de Andalucía. “Javier Arenas debería explicarnos el secreto de ese arte para no dar una”. Y novedades con Pablo Casado con su extenuante gira andaluza, ninguna. -</t>
  </si>
  <si>
    <t>http://tinyurl.com/y99csfb7</t>
  </si>
  <si>
    <t>Écija, Andalucía</t>
  </si>
  <si>
    <t>Rockero. Republicano. Socialista. Corredor. Cuenta personal Personal account</t>
  </si>
  <si>
    <t>Hola @pablocasado, veo que también andas rodeado de las mafias de las cloacas del estado. ..no sé cómo te las apañas pero estas en todas las salsas de la corrupción.</t>
  </si>
  <si>
    <t>Theon Greyjoy</t>
  </si>
  <si>
    <t>Pablo Casado en Andalucía: más candidato que Juanma Moreno  Vía @Eldiarioes</t>
  </si>
  <si>
    <t>Otra grieta en el muro</t>
  </si>
  <si>
    <t>Yo creía que nada me sorprendería en esta vida y resulta que va y veo que Pablo Casado reclama la soberanía de Gibraltar como una de las claves de la campaña en Andalucía.</t>
  </si>
  <si>
    <t>Oh, oh! This fiery height! Oh, oh! My feet of fire! My burning feet of fire!</t>
  </si>
  <si>
    <t>💮Miguel Canet Femenia</t>
  </si>
  <si>
    <t>#FelizLunes Varios miembros del Foreign Office Británico han sido hospitalizados tras sufrir un fuerte ataque de risa al enterarse que un tal Pablo Casado Pte de una Banda Mafiosa piensa tomar Gibraltar por las buenas o por las malas.</t>
  </si>
  <si>
    <t>pic.twitter.com/Bs7vLl71Rc</t>
  </si>
  <si>
    <t>País Valenciá  (Espanya)</t>
  </si>
  <si>
    <t>Discutir en Twitter es perder el tiempo,.. la experiencia me aconseja BLOK.</t>
  </si>
  <si>
    <t>Pablo Casado presume en Algeciras de la gestión migratoria del PP</t>
  </si>
  <si>
    <t>La historia según Pablo Casado Viñeta publicada en</t>
  </si>
  <si>
    <t>https://pbs.twimg.com/media/DsWcA2PWsAAEiTM.jpg</t>
  </si>
  <si>
    <t>Roger Figueras</t>
  </si>
  <si>
    <t>Pablo Casado en un míting a Andalusia: “Nosotros no colonizábamos, lo que hacíamos era tener una España más grande”. Res a dir.</t>
  </si>
  <si>
    <t>Estudiant de periodisme i comunicació corporativa. URL, Blanquerna. Articulista d'opinió al @Totsantcugat. En pràctiques a @COPE_Catalunya</t>
  </si>
  <si>
    <t>SASSY PAQUI 🍵</t>
  </si>
  <si>
    <t>#FelizLunes a todos, menos a Pablo Casado que no tiene ni puta idea de Andalucía.</t>
  </si>
  <si>
    <t>En el despacho, contando.</t>
  </si>
  <si>
    <t>Llámame Francisca o llámame como quieras, que como vengas con la factura sin IBAN no te pago. Todo es #CuestiónDeNarrativa y lo escribo en #PaquiTeloCuenta</t>
  </si>
  <si>
    <t>https://paquitelocuenta.blogspot.com</t>
  </si>
  <si>
    <t>Pablo Casado en Andalucía: más candidato que Juanma Moreno</t>
  </si>
  <si>
    <t>https://ift.tt/2OOrqq9</t>
  </si>
  <si>
    <t>https://ift.tt/2QUoLge</t>
  </si>
  <si>
    <t>Javier Maura</t>
  </si>
  <si>
    <t>Es llamativo que la campaña del PP en las elecciones andaluzas se base en aplicar de nuevo el 155 en Cataluña. Eso ahorra costes: no hay que hablar de educación, de sanidad, de infraestructuras o de los restos de García Lorca. Tal vez también ahorre votos.</t>
  </si>
  <si>
    <t>http://bit.ly/2BfLluz</t>
  </si>
  <si>
    <t>Bilbao, País Vasco</t>
  </si>
  <si>
    <t>Escritor con 2 novelas publicadas, una premiada con el Luis Berenguer. Activista de Amnistía Internacional. Observador crítico de la realidad política/cultural.</t>
  </si>
  <si>
    <t>fmb</t>
  </si>
  <si>
    <t>Pablo Casado estaba en COU - Los 'papeles de Kitchen' tienen pruebas de la caja B del PP en toda España  vía @elmundoes</t>
  </si>
  <si>
    <t>Yo vine aquí por las risas. Y para hablar de mi libro, pero…</t>
  </si>
  <si>
    <t>#L.U.O.👶</t>
  </si>
  <si>
    <t>Joer, discurso al mismo nivel que Rajoy o peor. Seguro que gana las elecciones 😒 Casado: "Los españoles no colonizábamos, lo que hacíamos era tener una España más grande"</t>
  </si>
  <si>
    <t>Profesora y arte-terapeuta: sector-atención a la salud mental. Comprometida con la justicia,la igualdad,la solidaridad y el cumplimiento de los DDHH.</t>
  </si>
  <si>
    <t>"No sotros no colonizabamos" Pablo Casado. (Por eso inventamos el verbo colonizar) Este señor es deletereo @La_SER</t>
  </si>
  <si>
    <t>Indauchu</t>
  </si>
  <si>
    <t>Lo que fue; nunca nos abandona.</t>
  </si>
  <si>
    <t>Si este señor tuviera otro apellido...el penúltimo de sus fracasos  RT @miquinta1: Que dice Suárez Illana que es absolutamente innecesario sacar a más de 100.000 fusilados de las cunetas, a un dictador de un mausoleo e ilegalizar a una fundación fascista. Muy claro.</t>
  </si>
  <si>
    <t>https://bit.ly/2QZlv3u
https://twitter.com/miquinta1/status/1064090644984078336</t>
  </si>
  <si>
    <t>Según Pablo Casado España no colonizaba sinó que hacia una España más grande. Lo mismo hizo la Alemania Nazi cuando ocupó media Europa, su frontera iba del sur de Rusia hasta los Pirineos. Hay q ser cabestro.</t>
  </si>
  <si>
    <t>https://pbs.twimg.com/media/DsWVvtZWkAAY8_h.jpg</t>
  </si>
  <si>
    <t>Corruptil</t>
  </si>
  <si>
    <t>Seguimos a vueltas con la Fiscalía #Felizlunes</t>
  </si>
  <si>
    <t>http://www.corruptil.com es un portal de información y difusión sobre CORRUPCIÓN en España. Y además, un medicamento para activarse contra este virus letal.</t>
  </si>
  <si>
    <t>http://www.corruptil.com</t>
  </si>
  <si>
    <t>marisol guajardo val</t>
  </si>
  <si>
    <t>Darien(ne) 🏴󠁧󠁢󠁳󠁣󠁴󠁿🎗</t>
  </si>
  <si>
    <t>Twattery level HIGH! "Los españoles no colonizábamos, lo que hacíamos era tener una España más grande"</t>
  </si>
  <si>
    <t>🏴󠁧󠁢󠁳󠁣󠁴󠁿 Scot. Independence for Scotland &amp; Catalunya et al. Dog Lover. Taurus. Teacher. Advocacy for Asperger's and SEN. Catalunya is where my ♥️ is.</t>
  </si>
  <si>
    <t>https://www.instagram.com/enneiradreklaw/</t>
  </si>
  <si>
    <t>Rose 💝</t>
  </si>
  <si>
    <t>Denunciado el Fiscal que pidió el archivo del caso Máster de Pablo Casado  via @diario_16</t>
  </si>
  <si>
    <t>"Com més cedíem i obeïem, pitjor ens tractaven." (Rosa Parks)</t>
  </si>
  <si>
    <t>https://www.veoinfo.com/pablo-casado-en-andalucia-mas-candidato-que-juanma-moreno/</t>
  </si>
  <si>
    <t>https://pbs.twimg.com/media/DsWT0XTUwAA2mPK.jpg</t>
  </si>
  <si>
    <t>Lluvia , frío , ciclogenesis ... Y Pablo Casado dando mítines #FelizLunes , mis cojones !!!</t>
  </si>
  <si>
    <t>pic.twitter.com/WAJ0MVu0Yh</t>
  </si>
  <si>
    <t>"Orban es uno de mis héroes, como Marine Le Pen, Salvini o Nigel Farage", explica Bannon -- Steve Bannon anuncia su fichaje por Víktor Orban, aliado europeo de Pablo Casado  informa @andresgil desde Bruselas vía @eldiarioes</t>
  </si>
  <si>
    <t>Rule</t>
  </si>
  <si>
    <t>Ni cotiza que, a este ritmo, Pablo Casado termina la campaña de las elecciones andaluzas disfrazado de Chiquito de la Calzada.</t>
  </si>
  <si>
    <t>https://pbs.twimg.com/media/DsWSpqtW0AEU5i6.jpg</t>
  </si>
  <si>
    <t>Era el mejor de los tiempos, era el peor de los tiempos, la edad de la sabiduría y también de la locura; era domingo pero no había fútbol.</t>
  </si>
  <si>
    <t>El jefe de campaña de Pablo Casado es un crack: "Pablo, iremos a Andalucía a contarles a los andaluces los problemas de los catalanes, seguro que así los andaluces nos votarán en masa..." Brillante.</t>
  </si>
  <si>
    <t>Felipe Benítez Reyes</t>
  </si>
  <si>
    <t>Pablo Casado no pudo aguantarse más y lanzó su gran proclama geopolítica: "¡Gibraltar español!", sin tener en cuenta que, de ser así, los andaluces de la zona nos quedaríamos sin queso de bola y sin crema para los dolores musculares.</t>
  </si>
  <si>
    <t>http://felipe-benitez-reyes.blogspot.com.es/</t>
  </si>
  <si>
    <t>Korngan</t>
  </si>
  <si>
    <t>Acabo de poner el canal 24 horas y Pablo Casado ha dicho "Gibraltar Español"??!?!?!? Pero este señor es un enfermo mental... (Esto sin interrogantes)</t>
  </si>
  <si>
    <t>pic.twitter.com/Bmx7oSD7mq</t>
  </si>
  <si>
    <t>Valladolor</t>
  </si>
  <si>
    <t>Detras del sombrero les acecha el marques para hacer mofa y chanza de sus quehaceres diarios:música,deportes,cerveza,Valladolid y vaya usted a saber que mas...</t>
  </si>
  <si>
    <t>J. Castillo</t>
  </si>
  <si>
    <t>Casado reivindica un "Gibraltar español" y culpa a Sánchez de "traición"  vía @20m</t>
  </si>
  <si>
    <t>https://www.20minutos.es/noticia/3494665/0/pablo-casado-reivindica-gibraltar-espanol-culpa-sanchez-traicion/?utm_source=twitter.com&amp;utm_medium=socialshare&amp;utm_campaign=mobile_web</t>
  </si>
  <si>
    <t>🐶⚽️🇪🇺🏰✝️</t>
  </si>
  <si>
    <t>Carlos Mata</t>
  </si>
  <si>
    <t>La alianza de extrema derecha que impulsa Steve Bannon en Europa apunta a Pablo Casado  via @eldiarioes</t>
  </si>
  <si>
    <t>Zaragoza, Aragón</t>
  </si>
  <si>
    <t>Freelance Fashion Photographer &amp; Lead Auditor ISO IEC 27001</t>
  </si>
  <si>
    <t>https://www.carlosmata.es/</t>
  </si>
  <si>
    <t>Andrés Gil</t>
  </si>
  <si>
    <t>Periodista. Corresponsal de http://eldiario.es en Bruselas / EU correspondent for http://eldiario.es.</t>
  </si>
  <si>
    <t>http://www.eldiario.es/autores/andres_gil/</t>
  </si>
  <si>
    <t>Alejandro vara</t>
  </si>
  <si>
    <t>(El anhelo de Pablo Casado) El escenario soñado por el PP: nuevas andaluzas en mayo y generales el 15-D de 2019  vía @voz_populi</t>
  </si>
  <si>
    <t>https://www.vozpopuli.com/_470db73f</t>
  </si>
  <si>
    <t>onion_icecream</t>
  </si>
  <si>
    <t>Pablo Casado pidiendo la cosoberanía de Gibraltar. Este pavo no puede esperar a soltar una tontería más grande.</t>
  </si>
  <si>
    <t>Sky Valley</t>
  </si>
  <si>
    <t>Pf, pa qué.</t>
  </si>
  <si>
    <t>Pablo Casado pide un "Gibraltar español" y otras cuatro noticias destacadas de este fin de semana para estar informado</t>
  </si>
  <si>
    <t>https://www.publico.es/actualidad/noticias-semana-casado-pide-gibraltar-espanol-dicen-tratados-noticias-destacadas-semana.html</t>
  </si>
  <si>
    <t>Nostrianamus</t>
  </si>
  <si>
    <t>“Nosotros no colonizábamos, lo que hacíamos era tener una España más grande”. Pablo Casado. Esto es lo que pasa cuando te regalan los títulos y no has cogido un libro en tu puta vida...</t>
  </si>
  <si>
    <t>https://www.youtube.com/attribution_link?a=oxtyEset-oY&amp;u=%2Fwatch%3Fv%3Dx3y5KhIJ9gg%26feature%3Dshare</t>
  </si>
  <si>
    <t>Pienso luego escribo. Uno de los mayores placeres de la vida es hacer lo que la gente dijo que nunca ibas a poder hacer.</t>
  </si>
  <si>
    <t>LA MIRADA EUROPEA</t>
  </si>
  <si>
    <t>Bruselas, Bélgica</t>
  </si>
  <si>
    <t>El blog de los europeístas críticos: ser europeísta hoy supone estar a favor de una Europa distinta, más cerca de sus ciudadanos. ¡Síguenos y únete al debate!</t>
  </si>
  <si>
    <t>http://lamiradaeuropea.com/</t>
  </si>
  <si>
    <t>Jose L. Rguez-Mera</t>
  </si>
  <si>
    <t>Ha dicho Pablo Casado: "Gibraltar español"???😂😂😂😂😂😂 Mira que es jodido sacarme una carcajada un lunes a estas horas...</t>
  </si>
  <si>
    <t>De vuelta en Asturias</t>
  </si>
  <si>
    <t>Sintiendo #Devotion por la #Euroliga, Juntando letras en Sillonbol. com y organizando el @Prestoso Fest.</t>
  </si>
  <si>
    <t>http://www.sillonbol.com</t>
  </si>
  <si>
    <t>Jose V. Madolell</t>
  </si>
  <si>
    <t>Que dice Casado que es el que la tiene más grande en España, más que Colón.</t>
  </si>
  <si>
    <t>karma🎗️</t>
  </si>
  <si>
    <t>"El presidente del PP, Pablo Casado, ha insistido este domingo en la activación del artículo 155 de la Constitución en Cataluña y la ilegalización de aquellas organizaciones que alientan y justifican la violencia”, Pues venga!! PP el primero</t>
  </si>
  <si>
    <t>Rosa Robledano</t>
  </si>
  <si>
    <t>Menudo jardín...... Denunciado el Fiscal que pidió el archivo del caso Máster de Pablo Casado  vía @diario_16</t>
  </si>
  <si>
    <t>Madre, mujer luchadora y poniendo mi granito de arena para intentar no dejar un mundo peor del que me han dejado a mi</t>
  </si>
  <si>
    <t>Juan Cuesta</t>
  </si>
  <si>
    <t>Steve Bannon anuncia su fichaje por Víktor Orban, aliado europeo de Pablo Casado -</t>
  </si>
  <si>
    <t>https://m.eldiario.es/31e5622c_837116460/</t>
  </si>
  <si>
    <t>Periodista en RTVE, director de Programas de la Escuela Internacional de Comunicación, presidente de Europa en suma</t>
  </si>
  <si>
    <t>http://www.europaensuma.org</t>
  </si>
  <si>
    <t>Cordelia</t>
  </si>
  <si>
    <t>ver fotos de Pablo casado en la tl na mas levantarme qué angustia</t>
  </si>
  <si>
    <t>sufridencia geocolérica</t>
  </si>
  <si>
    <t>No soy una obra de arte pero puedes mirarme tanto como quieras</t>
  </si>
  <si>
    <t>Pablo Casado en Andalucía: más candidato que Juanma Moreno  Por @inigoaduriz</t>
  </si>
  <si>
    <t>https://pbs.twimg.com/media/DsWDDwnWoAAIK9v.jpg</t>
  </si>
  <si>
    <t>SoyGerardotii</t>
  </si>
  <si>
    <t>Steve Bannon anuncia su fichaje por Víktor Orban, aliado europeo de Pablo Casado ⁦@PPopular⁩ ⁦@ahorapodemos⁩</t>
  </si>
  <si>
    <t>https://m.eldiario.es/internacional/Steve-Bannon-Orban-Pablo-Casado_0_837116460.html</t>
  </si>
  <si>
    <t>Adoro a los míos y creo en aquello de que la vida es eso que pasa mientras hacemos planes...</t>
  </si>
  <si>
    <t>Paz🌹 Guerra 🌹‏</t>
  </si>
  <si>
    <t>Aprovechando el inglés fluido de Rajoy lo podíais haber pedido durante su mandato.</t>
  </si>
  <si>
    <t>ALICANTE</t>
  </si>
  <si>
    <t>💞🍁No es mas rico el que mas tiene,es el que menos necesita💞🍁</t>
  </si>
  <si>
    <t>Agora Camp de Túria</t>
  </si>
  <si>
    <t>Pablo Casado en Andalucía: más candidato que Juanma Moreno  Digital con información global y notícias periódicas de los municipios de San Antonio Benagéber, Eliana, Pobla de Vallbona, Bétera, Riba-roja, Benaguasil, Serra y Camp de Túria, elaborada por Ágo…</t>
  </si>
  <si>
    <t>https://cronicadigitalcomarcalp.blogspot.com/2018/11/pablo-casado-en-andalucia-mas-candidato.html</t>
  </si>
  <si>
    <t>https://pbs.twimg.com/media/DsWJPERWsAE1cCk.jpg</t>
  </si>
  <si>
    <t>Camp de Túria</t>
  </si>
  <si>
    <t>Notícies Camp de Túria</t>
  </si>
  <si>
    <t>http://cronicadigitalcomarcal.blogspot.com</t>
  </si>
  <si>
    <t>Juan A</t>
  </si>
  <si>
    <t>¿Soy el único que se ha fijado en que Pablo Casado siempre se pone la misma camisa azul en todos los eventos a los que asiste? ¿La lavará?</t>
  </si>
  <si>
    <t>Trabajador de emergencias. I like riding my bicycle. Estudiante sempiterno.</t>
  </si>
  <si>
    <t>pCn</t>
  </si>
  <si>
    <t>Que BURRO.... Pablo Casado.... Y pensar que hay gente realmente preparada que tiene que irse de su pais, por culpa de vuestras politicas... BURRO!!!! RT @AnabelAlonso_of: COLONIZAR: Establecerse(un conjunto de personas) en un territorio alejado de su pueblo,pais o región de origen con la intención de poblarlo y explotar sus riquezas." ¿Ves como tenías que haber ido a clase?</t>
  </si>
  <si>
    <t>https://twitter.com/AnabelAlonso_of/status/1063803867094241285
https://twitter.com/eldiarioes/status/1063776742714822656</t>
  </si>
  <si>
    <t>Pablo Casado en Andalucía: más candidato que Juanma Moreno  vía @eldiarioes</t>
  </si>
  <si>
    <t>http://dlvr.it/QrZ4t7</t>
  </si>
  <si>
    <t>https://pbs.twimg.com/media/DsWGo20V4AA0EIq.jpg</t>
  </si>
  <si>
    <t>Europa Press C-LM</t>
  </si>
  <si>
    <t>Castilla-La Mancha</t>
  </si>
  <si>
    <t>Twitter oficial de la agencia de noticias Europa Press de Castilla-La Mancha</t>
  </si>
  <si>
    <t>http://www.europapress.es/castilla-lamancha</t>
  </si>
  <si>
    <t>https://www.veoinfo.com/steve-bannon-anuncia-su-fichaje-por-viktor-orban-aliado-europeo-de-pablo-casado/</t>
  </si>
  <si>
    <t>https://pbs.twimg.com/media/DsWFwLIU0AEb-d-.jpg</t>
  </si>
  <si>
    <t>Sebastián Puig Soler</t>
  </si>
  <si>
    <t>Ahí va, mira tú 😕 Casado: "Los españoles no colonizábamos, lo que hacíamos era tener una España más grande"</t>
  </si>
  <si>
    <t>BCN-Madrid-London-DC-Brussels</t>
  </si>
  <si>
    <t>Marino, analista, escritor, conferenciante. Por la profesionalidad, ética y sensatez económica en @Thinknomics @sintetia @DTuEconomia @ecoonomia_ @a_publica y +</t>
  </si>
  <si>
    <t>http://www.lentejitas.net/about/</t>
  </si>
  <si>
    <t>Dr. Microwave</t>
  </si>
  <si>
    <t>Hoy he soñado que Pedro Sánchez, Pablo casado y Albert Rivera montaban un grupo de kpop y quiero olvidar esa mierda #Traumita</t>
  </si>
  <si>
    <t>Land of Dragons and Chocolate</t>
  </si>
  <si>
    <t>Médico dragonil (R1 OncoRT) Mis chistes malos acabarán destruyendo el mundo // Empane 4Ever // INFP // ♦@XanxiChiHashimi ♦// Spes Ultima Dea</t>
  </si>
  <si>
    <t>SANDRA C. FORASTER🎗🎗🎗🎗🎗🎗🎗🎗🎗🎗🎗🎗🎗</t>
  </si>
  <si>
    <t xml:space="preserve">Sabadell, REPÚBLICA CATALANA </t>
  </si>
  <si>
    <t>JO SÓC CDR !!!</t>
  </si>
  <si>
    <t>#Tribunales | Denunciado el Fiscal que pidió el archivo del caso Máster de Pablo Casado Por Juez Fernando Presencia</t>
  </si>
  <si>
    <t>Jaén, España</t>
  </si>
  <si>
    <t>Isabel</t>
  </si>
  <si>
    <t>Pablo Casado: “Quien ha perdido contra Sánchez no puede salvar a Andalucía” | España | EL PAÍS</t>
  </si>
  <si>
    <t>https://elpais.com/politica/2018/11/15/actualidad/1542317293_554657.html</t>
  </si>
  <si>
    <t>En lo diferente esta el gusto</t>
  </si>
  <si>
    <t>Carlos Fernández</t>
  </si>
  <si>
    <t>"Cosoberanía de Gibraltar, somos los únicos que lo pedimos" primero es una chorrada como un templo, y segundo no sois los únicos catetos, Vox lo lleva pidiendo mucho tiempo y de verdad xd. Pablo Casado es el político más mentiroso que conozco junto con Aznar, ni se inmutan. RT @PPopular: Pedro Sánchez ha venido a España de visita usando el #CMin y nuestra bandera para volver a engañar a los habitantes del Campo de Gibraltar, prometiendo ayudas que no llegarán y sin haber luchado la cosoberanía ni exigir lo ya acordado👇🏼</t>
  </si>
  <si>
    <t>https://twitter.com/PPopular/status/1064216515367628801</t>
  </si>
  <si>
    <t>pic.twitter.com/jWu1YpVPs5</t>
  </si>
  <si>
    <t>Los mejores voladores son los peores caminantes</t>
  </si>
  <si>
    <t>Victor Errekara</t>
  </si>
  <si>
    <t>Las mentiras de Pablo Casado "Aravaca" sobre el golpe, la Gürtel o la guerra de Irak, por Ignacio Escolar, @iescolar  vía @iescolar</t>
  </si>
  <si>
    <t>Desprecio a la Monarquia, Ateu, IBERICO, Gasteitarra adoptado, Feminista, Por la independencia...NO creo en el P.Judicial http://ianasagasti.blogs.com/mi_blog/2015/0…</t>
  </si>
  <si>
    <t>https://okdiario.com/espana/2018/11/18/casado-reclama-cosoberania-gibraltar-no-queremos-verja-3364229#.W_IG8Cr6yHU.facebook</t>
  </si>
  <si>
    <t>🇮🇨MISTER Palabroto Acido      💯MAS👹😈 QUE 😇😇</t>
  </si>
  <si>
    <t>- Estás tarado Pablo Casado. RT @pablocasado_: Es intolerable que nos señalen y pretendan echarnos de Cataluña estos fascistas, con el silencio cómplice de Sánchez por un puñado de míseros votos. Mi apoyo a @Albiol_XG y a su familia, no podrán con nosotros porque tenemos la fuerza de la democracia, la libertad y la unidad.</t>
  </si>
  <si>
    <t>Donde me dejan365</t>
  </si>
  <si>
    <t>🇮🇨No sé porqué! Veo informativos, y mi ansia es twitear (NO SÉ DODE ESTOY)Pero sé que es.. #MuuuuuuuuuuuPeroQueMuuuuuuuuuuuJalaoPaLaIzquierda.</t>
  </si>
  <si>
    <t>Juan F. Dorrego</t>
  </si>
  <si>
    <t>#TenemosQueVernosMás: Pablo Casado está luchando por tres votos que pueden decidir el cambio en Andalucía.  vía @HechosdeHoy</t>
  </si>
  <si>
    <t>https://www.hechosdehoy.com/pablo-casado-lucha-por-tres-escanos-decisivos-para-derrotar-al-psoe-70190.htm</t>
  </si>
  <si>
    <t>Periodista, director de http://hechosdehoy.com, al filo de la noticia con Think Pad.</t>
  </si>
  <si>
    <t>http://www.hechosdehoy.com</t>
  </si>
  <si>
    <t>Mentxu Dripos</t>
  </si>
  <si>
    <t>Pablo Casado lucha por tres escaños decisivos para derrotar al PSOE</t>
  </si>
  <si>
    <t>https://ift.tt/2FsXi47</t>
  </si>
  <si>
    <t>https://pbs.twimg.com/media/DsUsdAOX4AE_5zK.jpg</t>
  </si>
  <si>
    <t>#Periodista. #Blogger. Escribo para @HechosdeHoy. #SocialMedia #Marketingdigital #CommunityManager. @AulaCM. Instagram: @mentxudripos</t>
  </si>
  <si>
    <t>@hechosdehoy</t>
  </si>
  <si>
    <t>Encuesta GAD3</t>
  </si>
  <si>
    <t>http://ow.ly/vAKv30mF9Oz</t>
  </si>
  <si>
    <t>INFORMACIÓN DE VALOR Y ANÁLISIS. Periódico digital dirigido por Juan-Fernando Dorrego Tíktin @juanfernandodt</t>
  </si>
  <si>
    <t>Angelika Knüppel</t>
  </si>
  <si>
    <t>Pasión por el periodismo y la actualidad. Viajar, leer, conocer más de un mundo sin fronteras. Trabajo en http://www.hechosdehoy.com</t>
  </si>
  <si>
    <t>ARTURO GUSTAVO</t>
  </si>
  <si>
    <t>Encuesta GAD3  vía @HechosdeHoy</t>
  </si>
  <si>
    <t>Ibiza</t>
  </si>
  <si>
    <t>Censor Jurado de Cuentas y Economista español.</t>
  </si>
  <si>
    <t>Miguel Rodriguez</t>
  </si>
  <si>
    <t>Republicano. No soporto la injusticia, los estragos en la naturaleza o la rapiña en el ser humano.</t>
  </si>
  <si>
    <t>No por esperado es menos doloroso. Vamos a evitarnos penas innecesarias. A la cama. El podcast de esta semana en @Eagles_Spain va a sonar a funeral. #FlyEaglesFly</t>
  </si>
  <si>
    <t>pablo casado dice que pedro sanchez es zapatero 2 .casado y tu eres fraga 2 .y aznar 3 .es decir una mala copia de estos dos dictadores de extremaderecha .pero en esta epoca que es lo mas jodido ,no crees facha de mierda .yo creo que si vamos seguro ..</t>
  </si>
  <si>
    <t>Ana Smith. No a la masacre de Palestinos</t>
  </si>
  <si>
    <t>De donde sacarìan los ESPAÑOLES el tal Pablo Casado que tipo tan bruto</t>
  </si>
  <si>
    <t>Wales UK</t>
  </si>
  <si>
    <t>Venezolana Chavista Graduada en Turismo, teacher support,miembro sindicato de trabajadores Wales y Amnistia Internacional UK Y DEFENDERE MI PAIS DESD DOND ESTE.</t>
  </si>
  <si>
    <t>Antoñito 🇪🇺</t>
  </si>
  <si>
    <t>Odio las conversaciones cortas. Quiero hablar de Pérez-Reverte, de Daniel Bernabé, de Soto Ivars, de Echenique, de Beatriz Talegón, del Nega, de Rosalía, de Aiteda, de Pablo Casado, de Joaquín y de Dani Mateo. Me gusta la gente profunda.</t>
  </si>
  <si>
    <t>Inglaterra, Reino Unido</t>
  </si>
  <si>
    <t>PhD in palindromes. Address me as Dr. Awkward.</t>
  </si>
  <si>
    <t>http://superkamiokandedonut.blogspot.com.es/</t>
  </si>
  <si>
    <t>Ràdio La Mina 102.5</t>
  </si>
  <si>
    <t>El juez-senador del PP compró una finca de 3.941 metros cuadrados por 676 euros. El elegido de Pablo Casado para el Gobierno de los jueces se quedó con 3 bienes del Estado a un precio ridículo en una subasta sospechosa</t>
  </si>
  <si>
    <t>Sant Adrià de Besòs</t>
  </si>
  <si>
    <t>Radio La Mina és una emisora cultural lliure, que funciona des de l'any 1984 al Barri de La Mina. Sant Adrià de Besòs (Barcelonès Nord).</t>
  </si>
  <si>
    <t>http://cervera.eldialdigital.com:8108/index.html?sid=1</t>
  </si>
  <si>
    <t>Marta Ruiz Jiménez 💛</t>
  </si>
  <si>
    <t>#ClasesparaPablo "@pablocasado_ contra la Historia"</t>
  </si>
  <si>
    <t>Historiadora. Autora web sobre Trienio Liberal http://ruizjimenez.es y me dejo el alma en #AcademiaySuicidios</t>
  </si>
  <si>
    <t>http://www.ruizjimenez.es</t>
  </si>
  <si>
    <t>Fer</t>
  </si>
  <si>
    <t>“Nosotros no colonizábamos, polinizábamos el nuevo mundo por una España más grande” Pablo Casado - Apicultor</t>
  </si>
  <si>
    <t>I'm all out of bubblegum</t>
  </si>
  <si>
    <t>Pablo Rodríguez</t>
  </si>
  <si>
    <t>Pablo Casado acusa a Pedro Sánchez de "traición" por no exigir "un Gibraltar español"  vía @elmundoes</t>
  </si>
  <si>
    <t>Director General de Transportes de la @ComunidadMadrid. Presidente @pparganda.</t>
  </si>
  <si>
    <t>http://www.facebook.es/prsardinero</t>
  </si>
  <si>
    <t>Salvador Cardús Ros</t>
  </si>
  <si>
    <t>Catalunya (Països Catalans)</t>
  </si>
  <si>
    <t>http://www.salvadorcardus.cat</t>
  </si>
  <si>
    <t>Ciudadano Koba</t>
  </si>
  <si>
    <t>Lo que nos faltaba. Ya teníamos suficiente con luchar contra la leyenda negra, ahora también vamos a tener que luchar contra los intentos de crear una leyenda rosa.</t>
  </si>
  <si>
    <t>Filistea</t>
  </si>
  <si>
    <t>Políticamente correcto y con pelos en la lengua</t>
  </si>
  <si>
    <t>http://www.kgb.by</t>
  </si>
  <si>
    <t>Marius Pontmercy</t>
  </si>
  <si>
    <t>Al PP le quitan más escaños Moreno Bonilla y Pablo Casado, acusica de pacotilla. RT @antonioperal: La encuesta GAD3 que publica ABC, deja una importante reflexión dirigida a los que dicen que votarán a VOX: el 3,6% (entre 0-1) podría quitar al PP hasta 8 escaños y por tanto, la posibilidad de desalojar al PSOE de la Junta. Es importante que se sepa lo que representa cada voto.</t>
  </si>
  <si>
    <t>https://twitter.com/antonioperal/status/1064103915057283072</t>
  </si>
  <si>
    <t>https://pbs.twimg.com/media/DsR03ejWwAA3HDO.jpg</t>
  </si>
  <si>
    <t xml:space="preserve">París, 1832 </t>
  </si>
  <si>
    <t>Lamarque no ha muerto</t>
  </si>
  <si>
    <t>http://LesAmisdelABC.com</t>
  </si>
  <si>
    <t>Koala eres un puto makina,has dado en el clavo amigo.Esa relación es más falsa que el máster de Pablo Casado. #SomosLaAudiencia18N</t>
  </si>
  <si>
    <t>¿Alguien me puede decir donde acaba la España mas grande de Pablo Casado? Es para un amigo que quiere mudarse #ObjetivoDebate</t>
  </si>
  <si>
    <t>En Andalucia tiene que ir Pablo Casado porque nadie conoce a Juan Manuel Moreno y Alber Rivera y Arrimadas porque nadie conoce a Juan Marin. #ObjetivoDebate</t>
  </si>
  <si>
    <t>Burgos, Bilbao, Madrid....</t>
  </si>
  <si>
    <t>Teoría de los Sentimientos Morales</t>
  </si>
  <si>
    <t>http://esquivandofronteras.blogspot.com</t>
  </si>
  <si>
    <t>JuanFra Rodriguez</t>
  </si>
  <si>
    <t>Su máster era de historia, claro...</t>
  </si>
  <si>
    <t>working hard..</t>
  </si>
  <si>
    <t>Cañas por España 🇪🇸</t>
  </si>
  <si>
    <t>El okupa @sanchezcastejon ha renunciado a cualquier tipo de reclamación sobre Gibraltar a cambio de carguitos en la UE… Pablo Casado habla de "cosoberanía"… Solo VOX habla de SOBERANÍA, de recuperarla sobre Gilbraltar y ofrecer una nueva esperanza.👏🏻 ⚔🇪🇸 #GibraltarEspañol</t>
  </si>
  <si>
    <t>pic.twitter.com/9Ph74CoFOm</t>
  </si>
  <si>
    <t>Iniciativa juvenil de @vox_es. Comprometidos en mejorar España. Todos los meses iremos de cañas con un invitado especial, ¡no te lo pierdas!</t>
  </si>
  <si>
    <t>http://canasporespana.es</t>
  </si>
  <si>
    <t>Espejismo de los Eagles. La cruda realidad se impone... y un partidazo de Brees. #FlyEaglesFly</t>
  </si>
  <si>
    <t>José León Baño</t>
  </si>
  <si>
    <t>"Nosotros no colonizábamos, hacíamos una España más grande". Pablo Casado  vía @YouTube</t>
  </si>
  <si>
    <t>Nada</t>
  </si>
  <si>
    <t>🇪🇸Lola De Guevara💋</t>
  </si>
  <si>
    <t>BOTICARIA RURAL.Entre ⛅️ y 🌊 de 🇮🇨. El miedo a hacer algo solo desaparece al hacerlo</t>
  </si>
  <si>
    <t>l. rodriguez horcaja</t>
  </si>
  <si>
    <t>Dice Pablo Casado “ Gribaltar español” Vamos échale bemoles o pelotas llévate a toda tu tropa “ a por ellos “ .</t>
  </si>
  <si>
    <t>La Arboleda Perdida</t>
  </si>
  <si>
    <t>Pablo Casado ha aprendido mucho (y no en las aulas precisamente). En Andalucía va por libre, lejos del candidato oficial. No quiere que lo vean con él no vaya a ser que luego el PP tenga un "éxito" como el 21D en Catalunya y le acusen del fracaso. Listo que es el chico</t>
  </si>
  <si>
    <t>Alex Merino Aspiazu</t>
  </si>
  <si>
    <t>Desde que ponen las pelis de Harry Potter en Cuatro, mi madre ha empezado a llamar Voldemort a todo lo que no le gusta: -Mira, un Voldemort (araña en la pared) -Ya está Voldemort diciendo tonterías (Pablo Casado en la TV) -Me hablas como Voldemort (yo pidiendo que me pase la sal)</t>
  </si>
  <si>
    <t>Escribo. Exploro abismos. Viajo para perder teorías. No estudié en el Insituto Benjamenta.</t>
  </si>
  <si>
    <t>Jordi Muñoz</t>
  </si>
  <si>
    <t>Y Franco no fusilaba, hacía sitio para estar más anchos</t>
  </si>
  <si>
    <t>Politòleg, UB</t>
  </si>
  <si>
    <t>http://www.jordimunoz.cat</t>
  </si>
  <si>
    <t>Indis</t>
  </si>
  <si>
    <t>Parece ser que Aitana ha estado visitando el comedor de Pablo Casado.</t>
  </si>
  <si>
    <t>https://pbs.twimg.com/media/DsUanKrWsAISGXO.jpg</t>
  </si>
  <si>
    <t>Moderdonia</t>
  </si>
  <si>
    <t>AYE AYE AYE FUEGO Influencer de gallos predictores a tiempo completo.</t>
  </si>
  <si>
    <t>http://annawasafriendofmine.tumblr.com/</t>
  </si>
  <si>
    <t>Ya llueve menos RT @dsanchezcuellar: Step by step...! #FlyEaglesFly</t>
  </si>
  <si>
    <t>https://twitter.com/dsanchezcuellar/status/1064283321709010946</t>
  </si>
  <si>
    <t>Manuel Marchena fue uno de los magistrados que acordaron el archivo del ‘caso máster’ de Pablo Casado Pablo Casado propuso a Marchena para presidente del CGPJ. ¿Como se lo comunicó a Marchena? -- Te lo debía, macho</t>
  </si>
  <si>
    <t>Calamard Tokaous</t>
  </si>
  <si>
    <t>Es decir, hay que ilegalizar por pensar distinto. Ilegalizar a partidos por funcionar como una banda criminal ya si eso en otro momento. Casado pide de nuevo el 155 para Catalunya desde Andalucía e ilegalizar partidos como la CUP @lavanguardia</t>
  </si>
  <si>
    <t>http://shr.gs/WJjPhZi</t>
  </si>
  <si>
    <t>Héctor Juanatey</t>
  </si>
  <si>
    <t>OST Pablo Casado.</t>
  </si>
  <si>
    <t>https://youtu.be/rS-_EZgRb0w</t>
  </si>
  <si>
    <t>Periodista. Galego. En Madrid.</t>
  </si>
  <si>
    <t>José Castro</t>
  </si>
  <si>
    <t>Hasta los cojones de la organización criminal: POLÍTICA-ECONÓMICA-MEDIÁTICA. Causantes de muchísimos males que ocurren en nuestras sociedades. MISERABLES-HDLGP.</t>
  </si>
  <si>
    <t>Casado se equivoca y confunde Gibraltar con la isla Perejil</t>
  </si>
  <si>
    <t>https://www.elnacional.cat/ca/politica/pablo-casado-exhuma-retorica-franquista-reclama-gibraltar-espanyol_325791_102.html?fbclid=IwAR0GyUJwK8HbXXCl_iZrSjHL1v0HRc4p7_VHOTw38kz8nK51QvJZOiFgw88</t>
  </si>
  <si>
    <t>_HailNya_</t>
  </si>
  <si>
    <t>Acabo de leer esta cosa. Mejor ilegalizad el PP</t>
  </si>
  <si>
    <t>Cadiz, Spain</t>
  </si>
  <si>
    <t>Estudiando el Grado Medio de Informatica en el infierno (IES Picasso)</t>
  </si>
  <si>
    <t>La herencia recibida por Pablo Casado, es una estercolera putrefacta que corroe al PP. De modo que la red corrupta debe ser laminada con urgencia, para regenerar desde cero, silenciando el atroz y vergonzante pasado de Mariano y Soraya. Es la única solución posible. 🇪🇸</t>
  </si>
  <si>
    <t>https://pbs.twimg.com/media/DsUWVpUW0AAZXvn.jpg</t>
  </si>
  <si>
    <t>K_Wendy_Ozz</t>
  </si>
  <si>
    <t>Casado pide de nuevo el 155 para Catalunya desde Andalucía e ilegalizar partidos como la CUP @lavanguardia  -- PP = CORRUPCION DE LA CORRUPCION. BANDA DE DELINCUENTES. ERGO ILEGALIZACION DEL PP. MPUNTORAJOY</t>
  </si>
  <si>
    <t>Barcelona, Catalunya Lliure</t>
  </si>
  <si>
    <t>El partido toma tintes dramáticos. Podemos asistir a un correctivo serio, serio, serio para los Eagles.</t>
  </si>
  <si>
    <t>La historia según Pablo Casado... @El_Plural</t>
  </si>
  <si>
    <t>IngloriusDeHavilland</t>
  </si>
  <si>
    <t>Pablo Casado y Theresa May quieren el peñón de Gibraltar. Me parece un comienzo bastante cutre para la tercera guerra mundial.</t>
  </si>
  <si>
    <t>Dragons' Den</t>
  </si>
  <si>
    <t>Hacedor de seriéfilos. Padre de una futura tienda de comics. Devorador de gofres. Yo pagué mi antigua deuda a Mastercard con Visa. Bear looking for love</t>
  </si>
  <si>
    <t>REPUBLICA YA!!!</t>
  </si>
  <si>
    <t>Esperemos que a Pablo Casado se le haga grande la dignidad, la vergüenza, el honor y los cojones para abandonar el fascismo</t>
  </si>
  <si>
    <t>aquí no cambia nada</t>
  </si>
  <si>
    <t>SER Lucena</t>
  </si>
  <si>
    <t>Pablo Casado culpa al PSOE en #Lucena "de aprovecharse" de los votos y "traer el desastre a Andalucía:</t>
  </si>
  <si>
    <t>http://www.andaluciacentro.com/cordoba/lucena/noticias/12570/pablo-casado-culpa-al-psoe-en-lucena-de-aprovecharse-de-los-votos-y-traer-el-desastre-a-andalucia</t>
  </si>
  <si>
    <t>https://pbs.twimg.com/media/DsUSb_sWwAEAagy.jpg</t>
  </si>
  <si>
    <t>Teléfono: 957 50 13 87</t>
  </si>
  <si>
    <t>La radio del Sur de Córdoba.</t>
  </si>
  <si>
    <t>http://www.andaluciacentro.com</t>
  </si>
  <si>
    <t>Qué fácil nos lo hace New Orleans... La temporada se va a hacer larguísima hasta el final. #FlyEaglesFly</t>
  </si>
  <si>
    <t>J. Antonio Fernández</t>
  </si>
  <si>
    <t>Pablo Casado es un bachiller que está orgulloso de su ignorancia y lo expresa a diario. Eso le convierte en un engreído y extremista peligroso.</t>
  </si>
  <si>
    <t>Cocinero indignado.</t>
  </si>
  <si>
    <t>Phil Man.</t>
  </si>
  <si>
    <t>Pablo Casado no le regalaban títulos hacía su CV. más grande</t>
  </si>
  <si>
    <t>Si no estáis prevenidos ante los Medios de Comunicación, os harán amar al opresor y odiar al oprimido. Malcolm X</t>
  </si>
  <si>
    <t>Pablo Casado dando pena, capítulo 3528282  vía @elmundoes</t>
  </si>
  <si>
    <t>Pues se ha quedao buena tarde, ¿no? https://curiouscat.me/ElSamu77</t>
  </si>
  <si>
    <t>antoni font gelabert</t>
  </si>
  <si>
    <t>Me troncho. Y no tengo palabras.</t>
  </si>
  <si>
    <t>Cercant el sentit del que feim</t>
  </si>
  <si>
    <t>Huelvared</t>
  </si>
  <si>
    <t>El presidente del PP, Pablo Casado, visita este lunes la provincia de Huelva</t>
  </si>
  <si>
    <t>http://huelvared.com/2018/11/18/el-presidente-del-pp-pablo-casado-visita-este-lunes-la-provincia-de-huelva/</t>
  </si>
  <si>
    <t>Mª Ángeles Gómez</t>
  </si>
  <si>
    <t>La Rioja</t>
  </si>
  <si>
    <t>Maestra de Infantil durante 36 años. En mi familia hay otros quince miembros en Educación. En las guarderías y la escuela de 0 a 6 años no se aprende a amar.</t>
  </si>
  <si>
    <t>OPINIÓN | Pablo Casado contra la Historia  Por @Guerraeterna</t>
  </si>
  <si>
    <t>https://pbs.twimg.com/media/DsT-FiIXcAIjNwU.jpg</t>
  </si>
  <si>
    <t>Bielungo</t>
  </si>
  <si>
    <t>Y queda meridianamente claro que el PP les compró a Cifuentes y Casado el famoso y delictivo Máster. Pablo Casado al igual que Cospedal también se reunió con Villarejo</t>
  </si>
  <si>
    <t>República de Ateolandia</t>
  </si>
  <si>
    <t>Cada segundo es único e irrepetible por eso no quemo ninguno con indiferencia. AVISO: Lo que escribo puede herir sensibilidades religiosas y/o retrógradas.</t>
  </si>
  <si>
    <t>JOSEAN</t>
  </si>
  <si>
    <t>Jordi Ysamat Faus</t>
  </si>
  <si>
    <t>Casado pide de nuevo el 155 para Catalunya desde Andalucía e ilegalizar partidos como la CUP @lavanguardia</t>
  </si>
  <si>
    <t>Sant Cugat ( Barcelona )</t>
  </si>
  <si>
    <t>Director comercial.</t>
  </si>
  <si>
    <t>https://www.youtube.com/watch?v=X8FQMS9yXLc&amp;t=1413s</t>
  </si>
  <si>
    <t>🔊 Gasteiz tiene este mayo la oportunidad histórica de conseguir la primera mujer alcaldesa! Y no, no estamos hablando de la candidata de Pablo Casado. Hablamos de Miren Larrion! 👫👭👬Construyamos entre todas el proyecto que liderará Miren!</t>
  </si>
  <si>
    <t>http://bit.ly/zurekingasteiz</t>
  </si>
  <si>
    <t>pic.twitter.com/SZh5RSRxTB</t>
  </si>
  <si>
    <t>Cristina Piernagorda</t>
  </si>
  <si>
    <t>Ayer con Pablo Casado en Lucena. El cambio en Andalucia está muy cerca.</t>
  </si>
  <si>
    <t>https://pbs.twimg.com/media/DsUIEMDXgAUVEpx.jpg</t>
  </si>
  <si>
    <t>De Baena. Madre, abogada y Concejal PP.</t>
  </si>
  <si>
    <t>Victor Rufach 🎗</t>
  </si>
  <si>
    <t>Pablo Casado no parece gilipollas, sólo hace su espantoso ridículo más grande</t>
  </si>
  <si>
    <t>Barcelona, Catalunya, Europe</t>
  </si>
  <si>
    <t>No. Try not. Do... or do not. But don't try. I ja fa temps que fins els collons. No tinc seguidors, tinc segadors. Bloqueo inmediato a los mucho españoles.</t>
  </si>
  <si>
    <t>PetrusVil ✞ 🇪🇸</t>
  </si>
  <si>
    <t>[El PP hace ya mucho que se pasó al lado oscuro de la fuerza.] Pablo Casado entrega la Justicia a Pedro Sánchez, por @ldpsincomplejos</t>
  </si>
  <si>
    <t>http://blogs.libertaddigital.com/enigmas-del-11-m/pablo-casado-entrega-la-justicia-a-pedro-sanchez-15104/</t>
  </si>
  <si>
    <t>Mentalmente en Sevilla Spain</t>
  </si>
  <si>
    <t>Ingeniero Industrial MBA IESE Poeta y escritor RealMadrid Hobbies: La ´güasa´ Filosofía Cine OrtegayGasset La excelencia es el camino Ilustro hasta que bloqueo</t>
  </si>
  <si>
    <t>http://www.Japalpilpa.com</t>
  </si>
  <si>
    <t>M. A. G.</t>
  </si>
  <si>
    <t>Durante su mitin en Algeciras, Pablo Casado ha pedido que las urnas se llenen de votos para Partido Popular como paso previo para sacar a Pedro Sánchez de Moncloa. Dicho en otras palabras "Andalucía nos importa mierda. Lo importante es Moncloa". Unos 800.00 andaluces votarán PP.</t>
  </si>
  <si>
    <t>Aizarna (País Vasco)</t>
  </si>
  <si>
    <t>Pues simplemente un muchacho andaluz que intenta sobrevivir y que, siempre desde el equilibrio y la humildad, hace lo que puede donde le dejan.</t>
  </si>
  <si>
    <t>http://mag-linares.blogspot.com.es/</t>
  </si>
  <si>
    <t>http://diario6.com/pablo-casado-al-igual-que-cospedal-tambien-se-reunio-con-villarejo/</t>
  </si>
  <si>
    <t>Sister 1492 🇪🇸 ن ➕</t>
  </si>
  <si>
    <t>No me convencen las explicaciones que estos días está dando Carlos Cuesta @carloscuestaEM sobre la última traición de Pablo Casado, cediendo el CGPJ al PSOE y Podemos y quitando del juicio al golpismo catalán a Marchena . Me sorprende, dada la inteligencia de este periodista.</t>
  </si>
  <si>
    <t>Alcázar de Toledo</t>
  </si>
  <si>
    <t>Gloria a la Patria que supo seguir sobre el azul del mar el caminar del sol.</t>
  </si>
  <si>
    <t>Pau , al servicio de oscuros intereses.</t>
  </si>
  <si>
    <t>Como es posible que @pablocasado_ aprobase bachiller  Y añado, una España unida grande y libre</t>
  </si>
  <si>
    <t>https://m.huffingtonpost.es/2018/11/17/pablo-casado-los-espanoles-no-colonizabamos-lo-que-haciamos-era-tener-una-espana-mas-grande_a_23592393/?utm_hp_ref=es-homepage&amp;ncid=other_homepage_tiwdkz83gze&amp;utm_campaign=mw_entry_recirc</t>
  </si>
  <si>
    <t>Mirando al mar</t>
  </si>
  <si>
    <t>Quimicefa 1987, @Hjorvik dice que hay que hay que quererme, reclamaciones a el. Sarcástica atea concebollista y mala gente en general. #Nosinevidencia</t>
  </si>
  <si>
    <t>†J.Andrés Calderón †</t>
  </si>
  <si>
    <t>El PP dice que es el “voto útil” para frenar a Susana Díaz y a Podemos. Este semana lo hemos visto regalándole Pablo Casado el CGPJ a Sanchez y Pablo Iglesias.</t>
  </si>
  <si>
    <t>https://pbs.twimg.com/media/DsUEGNLXcAMti6n.jpg</t>
  </si>
  <si>
    <t>Madrid,Reino de España</t>
  </si>
  <si>
    <t>1998. Política. Con las ideas bien claras. Orgulloso de ser español. El liberalismo no es pecado.</t>
  </si>
  <si>
    <t>http://es.favstar.fm/users/jandcalderon985</t>
  </si>
  <si>
    <t>GALTXAGORRI</t>
  </si>
  <si>
    <t>Mas vale paja con la mano que otro Santiago Abascal en verano. Mas vale condón en la cartera que nazca otro como Albert Rivera. Mas vale condón en pene que un Pablo Casado en versión nene. Todo claro, los anticonceptivos son para algo. #AntiFascista #AntiFascist</t>
  </si>
  <si>
    <t>Gasteiz</t>
  </si>
  <si>
    <t>Aski dute, gehiegi onartu zaie eta ez dira geldituko gelditzen ez baditugu!</t>
  </si>
  <si>
    <t>Paulina Moreno</t>
  </si>
  <si>
    <t>Pablo casado listo lo que no han conseguido 3 siglos lo va aconseguir Pedro en 5 meses nos ha jodido Mayo con no llover a tiempo vaya se ala mierda Casado RT @elmundoes: Pablo Casado reclama en Algeciras un "Gibraltar español"</t>
  </si>
  <si>
    <t>https://twitter.com/elmundoes/status/1064140291010166785
https://trib.al/apM21Cb</t>
  </si>
  <si>
    <t>अध्यापक</t>
  </si>
  <si>
    <t>–¿Era guapa? –Más simplona que un discurso de Pablo Casado.</t>
  </si>
  <si>
    <t>Torremocha</t>
  </si>
  <si>
    <t>Como decía mi Guru: ब्रह्म सत्यं जगन्मिथ्या जीवो ब्रह्म इव नापर Que significa exactamente: Si me sigues llamo a la policía.</t>
  </si>
  <si>
    <t>David F. de Arriba</t>
  </si>
  <si>
    <t>"Pablo Casado contra la Historia"</t>
  </si>
  <si>
    <t>Sant Andreu, Barcelona</t>
  </si>
  <si>
    <t>46664. Professor de Socials (i Castellà) a la ESO. Cómic, Historia, África, series... Miembro de la @ACDComic.</t>
  </si>
  <si>
    <t>http://historiaycomic.com</t>
  </si>
  <si>
    <t>La dirección del PP no solo se conforma con el segundo puesto en Andalucia sino que además lo vendería como un éxito de Pablo Casado, ahora bien si no es así quien se la juega es Juanma Moreno no Casado. Pablo Casado como la banca, siempre gana y cuando pierde, prescribe.</t>
  </si>
  <si>
    <t>Bond, Jeims Bond</t>
  </si>
  <si>
    <t>Hitler no invadió nada, hacía alemania más grande. Que no entendéis. Casado: “Nosotros no colonizábamos, lo que hacíamos era tener una España más grande” @lavanguardia</t>
  </si>
  <si>
    <t>http://shr.gs/qHXeNCe</t>
  </si>
  <si>
    <t>Euskalerria</t>
  </si>
  <si>
    <t>Bloqueo fachas y tontos útiles del Régimen.</t>
  </si>
  <si>
    <t>http://regueldosmentales.blogspot.com/</t>
  </si>
  <si>
    <t>Don Mitxel Erregea</t>
  </si>
  <si>
    <t>La verdad es que Pablo Casado está haciendo lo que puede para que Vox no tenga escaños.</t>
  </si>
  <si>
    <t>siempre en el caserío</t>
  </si>
  <si>
    <t>Ya os vale...</t>
  </si>
  <si>
    <t>🎗️🎗PETER FALK 🎗🎗️ 🇧🇪Pere for the friends!</t>
  </si>
  <si>
    <t>Como el PP no es nadie en Catalunya, Pablo Casado está obsesionado por volver a aplicar el 155. Esta es la "democracia" que predica este miserable fascista!! 😠 😠 😠 😠</t>
  </si>
  <si>
    <t>Katalonskaya Respublika.</t>
  </si>
  <si>
    <t>EN LLUITA PER LA DEMOCRÀCIA ||*|| #TRAM8. 🇧🇪 BELGIUM IS A FREE COUNTRY! 🇧🇪</t>
  </si>
  <si>
    <t>noly</t>
  </si>
  <si>
    <t>Colón no colonizó... Pablo Casado, librepensador...</t>
  </si>
  <si>
    <t>Economista? Depende. Ser gallego es ser poco drástico. Crítico? Seguro. Ser economista permite ser poco gallego. http://ocudacuruxa.blogspot.com</t>
  </si>
  <si>
    <t>Mundo Burbu</t>
  </si>
  <si>
    <t>Votar a Pablo Casado es votar a un imbécil RT @pablocasado_: Votar a Susana Díaz es votar que Sánchez pacte con los independentistas, que los socialistas se reúnan con Otegi y que se manden emisarios a la cárcel para negociar los Presupuestos. Hay que acabar con esta alianza de la ‘S’ al cuadrado. #HackathonXelCambio</t>
  </si>
  <si>
    <t>Para la libertad, sangro, lucho, pervivo,...</t>
  </si>
  <si>
    <t>wasconia</t>
  </si>
  <si>
    <t>Interesante lectura.</t>
  </si>
  <si>
    <t>Gaia</t>
  </si>
  <si>
    <t>Ave Fénix.</t>
  </si>
  <si>
    <t>Werbu :D</t>
  </si>
  <si>
    <t>Pablo Casado y Albert Rivera me caen jodidamente mal y no comparto ni de lejos su ideología, pero llamartes fascistas me parece exagerado la verdad</t>
  </si>
  <si>
    <t>Me gusta la historia y soy muy malo en el lol. Aún sigo esperando el alzamiento del Segundo Imperio Romano. Trajano es mi dios.</t>
  </si>
  <si>
    <t>http://instagram.com/minutes_to_the_end__</t>
  </si>
  <si>
    <t>GEYMAN</t>
  </si>
  <si>
    <t>¿Cómo dejan a Pablo Casado decir tantas estupideces por mitin? 🤦🏻‍♂️</t>
  </si>
  <si>
    <t>I WANNABE... Architect, housewife, journalist, waiter, painter, blogger, millionaire, writer, photographer, veterinarian, gardener, fortune-teller...</t>
  </si>
  <si>
    <t>http://manugey.tumblr.com</t>
  </si>
  <si>
    <t>Pedro Rodríguez</t>
  </si>
  <si>
    <t>Dice Pablo Casado que Gibraltar español. Luego acusa al socialismo de gobernar en blanco y negro.</t>
  </si>
  <si>
    <t>Cartagenero</t>
  </si>
  <si>
    <t>Prohibido el paso a las arañas y los visigodos. Guionista de Felicidad, ya en cines. Aunque nunca pinté nada, ahora pinto y mucho</t>
  </si>
  <si>
    <t>𝒩𝑒𝓌 𝐃𝐞𝐚𝐭𝐡.</t>
  </si>
  <si>
    <t>|| A que me hago yo un Pablo Casado</t>
  </si>
  <si>
    <t>ι waιт ғor yoυ ιn нell ⤁ тнe ғoυrтн rιder 【Mature content +18】 ᴀʀᴇɴ's ᴅᴀᴅ. #Multiépoca</t>
  </si>
  <si>
    <t>https://theaverse.wixsite.com/death</t>
  </si>
  <si>
    <t>EugenioMF</t>
  </si>
  <si>
    <t>Pablo Casado llamando a alguien fascista... mmmm algo no me cuadra🤔🤔 RT @pablocasado_: Es intolerable que nos señalen y pretendan echarnos de Cataluña estos fascistas, con el silencio cómplice de Sánchez por un puñado de míseros votos. Mi apoyo a @Albiol_XG y a su familia, no podrán con nosotros porque tenemos la fuerza de la democracia, la libertad y la unidad.</t>
  </si>
  <si>
    <t>Estudiante. Redactor, editor y analista en @Nintenderos. 🏳️‍🌈</t>
  </si>
  <si>
    <t>http://nintenderos.com</t>
  </si>
  <si>
    <t>Servidora</t>
  </si>
  <si>
    <t>Pablo Casado (igual que Riverita) usando “el caso catalán” hasta cuando no va bien al baño. Lerdos a banda, no em sembla pas gens rar que molts espanyols (no lerdos) no ens aguantin.</t>
  </si>
  <si>
    <t>ciutadà de la Republica Catalana</t>
  </si>
  <si>
    <t>Otro que solo ve españoles....Casado: "Los españoles no colonizábamos, lo que hacíamos era tener una España más grande"</t>
  </si>
  <si>
    <t>REP. CATALUNYA</t>
  </si>
  <si>
    <t>Ciutadà de la República Catalana, no reconec l'estat espanyol a territori de la República.</t>
  </si>
  <si>
    <t>http://www.republicacatalunya.cat</t>
  </si>
  <si>
    <t>Corsus</t>
  </si>
  <si>
    <t>Pues he visto 'The Meg'. Lo único que se puede decir de ella es que, aunque es una putísima mierda que te hace anhelar oír el susurro de la guadaña de la parca, es mejor que 'Jurassic World: Fallen Kingdom', que hace que prefieras estar en un mitin de Pablo Casado.</t>
  </si>
  <si>
    <t>Dead dog barking.</t>
  </si>
  <si>
    <t>https://www.youtube.com/attribution_link?a=sLWJSJ-1Qpg&amp;u=%2Fwatch%3Fv%3Dx3y5KhIJ9gg%26feature%3Dshare</t>
  </si>
  <si>
    <t>"Nosotros no colonizábamos, hacíamos una España más grande". Pablo Casado  via @YouTube</t>
  </si>
  <si>
    <t>El presidente del Partido Popular, Pablo Casado, ha afirmado hoy en Algeciras que el PP es el único que defiende la cosoberanía en Gibraltar: “Somos los únicos que lo pedimos, un Gibraltar español, tal y como dicen los tratados.</t>
  </si>
  <si>
    <t>https://noticiasgibraltar.es/campo-gibraltar/noticias/3899/casado-afirma-algeciras-que-pp-es-unico-que-defiende-gibraltar-espanol</t>
  </si>
  <si>
    <t>https://pbs.twimg.com/media/DsT4j2kWwAANxhR.jpg</t>
  </si>
  <si>
    <t>Nacho Hernaez</t>
  </si>
  <si>
    <t>Si os gusta el espacio exterior echad un ojo (o mejor una oreja) a esto👂📻  La voz radiofónica de @pablo_casado os atrapará😂</t>
  </si>
  <si>
    <t>https://www.ivoox.com/30098587</t>
  </si>
  <si>
    <t>Medina del Campo-Madrid</t>
  </si>
  <si>
    <t>Periodismo y Comunicación Audiovisual en la URJC|Redactor en @SportBallFutbol y @ValladolidVAVEL|📩E-Mail: nachohernaez.muriel14@gmail.com</t>
  </si>
  <si>
    <t>Si no han ilegalizado al partido más corrupto y mafioso del mundo, sí, es el que tú diriges, Casado, pues no creo que ilegalicen a ningún partido. Casado pide de nuevo el 155 para Catalunya desde Andalucía e ilegalizar partidos como la CUP @lavanguardia</t>
  </si>
  <si>
    <t>Azanatos</t>
  </si>
  <si>
    <t>Y va Pablo Casado y hoy se acuerda de Gibraltar. Cualquier cosa le vale en su desquiciada campaña... Qué poco tino, que insulso.</t>
  </si>
  <si>
    <t>El pensamiento es una herramienta. Otra, la acción. El hambre, lo más terrible. No podemos estar quietos. Hay de dejar una sociedad mejor que la que conozco.</t>
  </si>
  <si>
    <t>Fresh Prince</t>
  </si>
  <si>
    <t>No suelo ver la tele y para un momento que la pongo me sale Pablo Casado hablando de acabar con esta España en blanco y negro cuando la mitad de cosas que propone son de esa misma época</t>
  </si>
  <si>
    <t>Cornellà de Llobregat, BCN</t>
  </si>
  <si>
    <t>O lo odias o lo amas</t>
  </si>
  <si>
    <t>Manuel González</t>
  </si>
  <si>
    <t>Razonamiento diametralmente opuesto a los argumentos expresados ayer por Pablo Casado en Lucena. Y formas más suaves y atemperadas. Probablemente por eso Arenas sí ganaba elecciones:</t>
  </si>
  <si>
    <t>Responsable de informativos de @serlucena para el sur de Córdoba. Escribo en @abccordoba y @agenciaarea11. Ningún ser humano es ilegal.</t>
  </si>
  <si>
    <t>https://manuelgonzalezperiodista.wordpress.com/</t>
  </si>
  <si>
    <t>Pablo Casado será gilipollas, pero es nuestro gilipollas, un gilipollas marca España que merece respeto, porque gilipollas como Pablo Casado son un símbolo patrio, son gilipollas que refuerzan nuestra identidad. Siéntete orgulloso de lo tuyo y cuelga un gilipollas en tu balcón.</t>
  </si>
  <si>
    <t>Maillo es portavoz adjunto del PP de Pablo Casado. Que no os engañen, éste NO es el PP de Rajoy y Soraya, estas cosas las dice el PP de Pablo Casado, ese que os quieren hacer creer que es chachi piruli</t>
  </si>
  <si>
    <t>https://pbs.twimg.com/media/DsT3LwIXQAAH6d-.jpg</t>
  </si>
  <si>
    <t>umh1194</t>
  </si>
  <si>
    <t>El Casado que defiende el etnocidio:</t>
  </si>
  <si>
    <t>UMH, Elche, España</t>
  </si>
  <si>
    <t>Fundamentos de Antropología Social para periodistas</t>
  </si>
  <si>
    <t>http://umh1194.edu.umh.es/</t>
  </si>
  <si>
    <t>Pablo Casado cada día está más lerdo y gilipollas. Si no teníamos bastante con las mongoladas suyas de las colonizaciones en América, ahora y sin ponerse colorado exige un "Gibraltar Español" en un mitin en Andalucía.</t>
  </si>
  <si>
    <t>Pablo Casado se adentra en un camino de mentiras políticas que se lo acabarán comiendo. Allá él y los que se creen sus estupideces</t>
  </si>
  <si>
    <t>Atlántica XXII</t>
  </si>
  <si>
    <t>#LoMasLeido @pablocasado_ atacó al asturiano y alegó que "nadie" lo hablaba. Las redes se llenaron de voluntarios para quitarle la razón con comentarios como los que recogimos en este artículo, que fue lo más leído en nuestra web esta semana ⤵️</t>
  </si>
  <si>
    <t>https://www.atlanticaxxii.com/los-palos-a-pablo-casado-ante-medio-millon-de-espectadores-por-decir-que-nadie-habla-asturiano/</t>
  </si>
  <si>
    <t>Revista asturiana de información y pensamiento.</t>
  </si>
  <si>
    <t>http://www.atlanticaxxii.com</t>
  </si>
  <si>
    <t>Juan Martín ||||</t>
  </si>
  <si>
    <t>Todo volcado en los andaluces y en Andalucia</t>
  </si>
  <si>
    <t>https://www.lavanguardia.com/politica/20181118/453013354456/elecciones-andalucia-pedro-sanchez-pablo-casado-albert-rivera.html</t>
  </si>
  <si>
    <t>De sherpa en el Gobierno de Aragón</t>
  </si>
  <si>
    <t>Jaume Bertrán</t>
  </si>
  <si>
    <t>Pablo Casado recupera el "Gibraltar español" del Franquismo 🇪🇸🇪🇸. Ya no sé si estamos en 2018 o en 1975... 😱😱 La involución es evidente cuando el supuesto centro derecha tiene q copiar el discurso de la extrema derecha de toda la vida para no perder votos.</t>
  </si>
  <si>
    <t>Reus (Catalonia)</t>
  </si>
  <si>
    <t>historiador interessat en la docència, la investigació, la biblioteconomia i l'anàlisi polític. HrvatsCat (born in Catalonia, in love with Croatia)🇭🇷❤.</t>
  </si>
  <si>
    <t>https://twitter.com/JonInarritu/status/1063870111793197056
https://www.huffingtonpost.es/2018/11/17/pablo-casado-los-espanoles-no-colonizabamos-lo-que-haciamos-era-tener-una-espana-mas-grande_a_23592393/?ncid=other_twitter_cooo9wqtham&amp;utm_campaign=share_twitter</t>
  </si>
  <si>
    <t>CONCHA ZARAGOZA</t>
  </si>
  <si>
    <t>Sr. D. Pablo Casado Blanco @pablocasado_ le exijo que vete el nombramiento de los nuevos miembros del Consejo General de Poder Judicial.</t>
  </si>
  <si>
    <t>ZARAGOZA - ESPAÑA</t>
  </si>
  <si>
    <t>Casada, tres hijos. No soporto la mentira ni la hipocresía. Mi lema...Carpe Diem.</t>
  </si>
  <si>
    <t>Muy mal tiene que estar viendo el panorama Pablo Casado para sacar el tema de Gibraltar en noviembre. No sé que va a dejar para el verano.</t>
  </si>
  <si>
    <t>TVG</t>
  </si>
  <si>
    <t>Pablo Casado acusou a Pedro Sánchez de "traizón" por non esixir "un Xibraltar español" e críticou a polítca migratoria do goberno</t>
  </si>
  <si>
    <t>http://bit.ly/2BdUzas</t>
  </si>
  <si>
    <t>https://pbs.twimg.com/media/DsTsCNKWwAARu9C.jpg</t>
  </si>
  <si>
    <t>Benvid@ ao twitter oficial da Televisión de Galicia. Tamén podes seguir a actualidade galega en @CRTVG e @radiogalega</t>
  </si>
  <si>
    <t>http://www.crtvg.gal/tvg</t>
  </si>
  <si>
    <t>Pablo Casado contra la Historia -  por @Guerraeterna</t>
  </si>
  <si>
    <t>Albert Blaya Sensat</t>
  </si>
  <si>
    <t>No sé si es Alexis o Pablo Casado. RT @2010MisterChip: ESPAÑA 🇪🇸 ESPAÑA 🇪🇸 ESPAÑA 🇪🇸 ESPAÑA 🇪🇸 ESPAÑA 🇪🇸 ESPAÑA 🇪🇸 ESPAÑA 🇪🇸 ESPAÑA 🇪🇸 ESPAÑA 🇪🇸 ESPAÑA 🇪🇸 ESPAÑA 🇪🇸 ESPAÑA 🇪🇸 ESPAÑA 🇪🇸 ESPAÑA 🇪🇸 ESPAÑA 🇪🇸 ESPAÑA 🇪🇸 ESPAÑA 🇪🇸 ESPAÑA 🇪🇸 ESPAÑA 🇪🇸 ESPAÑA 🇪🇸 ESPAÑA 🇪🇸 ESPAÑA 🇪🇸 ESPAÑA 🇪🇸 ESPAÑA 🇪🇸 ESPAÑA 🇪🇸 ESPAÑA 🇪🇸 ESPAÑA 🇪🇸 ESPAÑA 🇪🇸</t>
  </si>
  <si>
    <t>https://twitter.com/2010MisterChip/status/1064242397230583808</t>
  </si>
  <si>
    <t>Estudiante de periodismo, UAB. Analizo y contextualizo sobre fútbol en @bprofundidad. Locuto y escribo en @SoccerCityMedia . Contacto: blayasa@gmail.com</t>
  </si>
  <si>
    <t>http://www.instagram.com/a_b43</t>
  </si>
  <si>
    <t>Guadalupe Rodríguez</t>
  </si>
  <si>
    <t>Que dice @pablocasado_ que lo que hicieron los españoles fue hacer España más grande, aunque olvida mencionar que fue costa de invadir, saquear y exterminar a los pueblos originarios de Nuestramérica ---&gt; Por qué no te callas????</t>
  </si>
  <si>
    <t>https://pbs.twimg.com/media/DsTxjIOWsAQDiDv.jpg</t>
  </si>
  <si>
    <t>Global, Local</t>
  </si>
  <si>
    <t>Salvo la selva en @salvalaselvaorg 🌞; Coordino en SíaLaVidaNoaLaMinería @_YLNM 🌖</t>
  </si>
  <si>
    <t>¿Seguro que está bien de la cabeza ese aspirante a bachiller? Pablo Casado acusa a Pedro Sánchez de "traición" por no exigir "un Gibraltar español"  vía @elmundoes</t>
  </si>
  <si>
    <t>Gentil Lozano O.</t>
  </si>
  <si>
    <t>Pablo Casado, como perro con guzanera, va por Andalucía y las otras provincias, dando discursos demagogos, rebuscando votos y en muchos de ellos apoyando políticos corruptos, como el candidato que tienen para andalucia y hablados por viejos corruptores.</t>
  </si>
  <si>
    <t>España - Colombia</t>
  </si>
  <si>
    <t>Colombiano en España. Distribuidor independiente #Herbalife padre orgulloso d Isabella y esposo de @osabella75</t>
  </si>
  <si>
    <t>El líder del PP ha explicado cuáles son sus planes para lograr un "Gibraltar español"</t>
  </si>
  <si>
    <t>http://ww.cope.es/pfwdq1</t>
  </si>
  <si>
    <t>Manuel  🇪🇸 ✋</t>
  </si>
  <si>
    <t>¿de verdad que Pablo Casado ha decepcionado al personal? Yo alucino con el ojo clínico de algunillos..léase Federico o Del Pino</t>
  </si>
  <si>
    <t>Afiliado a Fuerza Nueva en 1976</t>
  </si>
  <si>
    <t>Clara</t>
  </si>
  <si>
    <t>No soy vidalquadrista pero tengo que reconocer que habla y escribe genial. Al César lo que es del César. El ‘Alea iacta est’ de Pablo Casado</t>
  </si>
  <si>
    <t>https://www.vozpopuli.com/opinion/Alea-iacta-est-Pablo-Casado_0_1191781185.html</t>
  </si>
  <si>
    <t>Accitana y muy española 🇪🇸 Madre de 3. Médica de Familia. Graduada en Sociología. Liberal. No DM.</t>
  </si>
  <si>
    <t>Chopped</t>
  </si>
  <si>
    <t>Pablo Casado masturbándose con el final de Apocalypto. RT @eldiarioes: Pablo Casado revisa la Historia de América en la campaña andaluza: "Nosotros no colonizábamos, hacíamos una España más grande"  Lo cuenta @inigoaduriz</t>
  </si>
  <si>
    <t>gñe.</t>
  </si>
  <si>
    <t>https://www.instagram.com/queenchopped/</t>
  </si>
  <si>
    <t>Alberto Manzano</t>
  </si>
  <si>
    <t>Mi madre diciéndome como escucho a Ayax que como salga Pablo Casado voy a ir a la cárcel xdddd</t>
  </si>
  <si>
    <t>¿Vienes a juzgarme por lo que pongo en mi biografía? Le monde est à nous</t>
  </si>
  <si>
    <t>angeles blanco rguez</t>
  </si>
  <si>
    <t>Qué viejo es Pablo Casado! Lo oigo en los mítines en la campaña andaluza y no dice nada nuevo, cuando no está descubriendo América está reconquistando Gibraltar... Y las propuestas de futuro..."pa" cuándo?</t>
  </si>
  <si>
    <t>https://amp.elmundo.es/andalucia/2018/11/18/5bf1600fe2704ed9718b45f0.html?__twitter_impression=true</t>
  </si>
  <si>
    <t>No es necesario decir todo lo que se piensa, lo que si es necesario es pensar todo lo que se dice Quino</t>
  </si>
  <si>
    <t>Princesa Pingüino</t>
  </si>
  <si>
    <t>Pablo Casado gritando "Gibraltar español" en un mitin para las elecciones andaluzas. Bueno.</t>
  </si>
  <si>
    <t>Polo Sur (Barcelona)</t>
  </si>
  <si>
    <t>Si encontráis mi gracia avisadme que la estoy buscando. Pingu es mi primo. 烤宽面条</t>
  </si>
  <si>
    <t>LuisCarlosن ‏  🇪🇸</t>
  </si>
  <si>
    <t>Roquetas de Mar, España</t>
  </si>
  <si>
    <t>G E M J.B</t>
  </si>
  <si>
    <t>Ay señor que Pablo Casado ha dicho “gibraltar Español” estamos en 2018 seguro?</t>
  </si>
  <si>
    <t>Hey there! I am using Twitter.</t>
  </si>
  <si>
    <t>"Nosotros no colonizábamos, hacíamos una España más grande". Pablo Casado:  via @YouTube</t>
  </si>
  <si>
    <t>http://youtu.be/gBj1ZEfTu1o?a</t>
  </si>
  <si>
    <t>Pablo Casado quiere que se repita la II Guerra Munial pero ahora sin ayuda soviética.</t>
  </si>
  <si>
    <t>Alejandro Hervás</t>
  </si>
  <si>
    <t>Pablo Casado contra la Historia</t>
  </si>
  <si>
    <t>http://flip.it/2IGJHq</t>
  </si>
  <si>
    <t>Realizador TV</t>
  </si>
  <si>
    <t>http://alexplusextend.blogspot.com.es</t>
  </si>
  <si>
    <t>elMIRA.es</t>
  </si>
  <si>
    <t>🗳 Pablo Casado afirma en su visita a la provincia de Cádiz que “el Gobierno de Pedro Sánchez es como el 🌿 aloe vera, cuanto más lo investigan, más propiedades le encuentran"</t>
  </si>
  <si>
    <t>https://www.elmira.es/18/11/2018/casado-pide-votar-a-juanma-moreno-para-acabar-con-40-anos-de-psoe-en-andalucia/?utm_medium=Social&amp;utm_source=Twitter#Echobox=1542561899</t>
  </si>
  <si>
    <t>https://pbs.twimg.com/media/DsTsesPW0AAha6w.jpg</t>
  </si>
  <si>
    <t>Diario MIRA Cádiz, Jerez, Sevilla, El Puerto, Chiclana, Sanlúcar, San Fernando | Premio Mejor Plataforma Tecnológica Cádiz'16 | Premio IniciaTIC Cádiz'17</t>
  </si>
  <si>
    <t>https://www.elmira.es</t>
  </si>
  <si>
    <t>Colonizar: cuando un país, mediante la ocupación de terrenos ajenos, pretende hacerse más grande. Diccionario histórico de Pablo Casado.</t>
  </si>
  <si>
    <t>José Carrasco</t>
  </si>
  <si>
    <t>Pablo Casado entrega la Justicia a Pedro Sánchez, por @ldpsincomplejos  vía @libertaddigital</t>
  </si>
  <si>
    <t>https://www.20minutos.es/noticia/3494665/0/pablo-casado-reivindica-gibraltar-espanol-culpa-sanchez-traicion/?utm_source=twitter.com&amp;utm_medium=socialshare&amp;utm_campaign=mobile_amp</t>
  </si>
  <si>
    <t>Gerard 🎗</t>
  </si>
  <si>
    <t>A partir d'ara em referiré a Pablo Casado com a Mister Master</t>
  </si>
  <si>
    <t>Ripollet - Reus</t>
  </si>
  <si>
    <t>Traductor (EN, FR - CAT, ES). Estimo el català, els idiomes, la política, la fotografia, i vull la independència de Catalunya. Faig l'humor sempre que puc</t>
  </si>
  <si>
    <t>Mário J. Herrero Valeiro</t>
  </si>
  <si>
    <t>Alguien tiene que decirlo, Pablo Casado no es sólo um peligroso derechista autoritario sin escrúpulos... Por encima de todo, Pablo Casado es TONTO. La combinación de ambas características anticipa futuros horrores.</t>
  </si>
  <si>
    <t>Sempre inconstante. Não calarei, não.</t>
  </si>
  <si>
    <t>Vientu Nordés</t>
  </si>
  <si>
    <t>¡Meca! Que dicen estos señores británicos de "UK Language Maps" que en en la Península Ibérica se habla un idioma llamado "Asturian". A estas alturas el señor Pablo Casado debe estar solicitando presentar una queja formal ante el embajador del Reino Unido por semejante herejía. RT @UKLANGMAPPING: Western / Central Europe Linguistic (Language) Map</t>
  </si>
  <si>
    <t>https://twitter.com/UKLANGMAPPING/status/1063866311468564481</t>
  </si>
  <si>
    <t>https://pbs.twimg.com/media/DsOcxMsXgAAJxb8.jpg</t>
  </si>
  <si>
    <t>El Bisonte del Carbayedo</t>
  </si>
  <si>
    <t>Eterno proyecto de corredor de montaña que no pasa de senderista pretencioso y editor de uno de los 10 peores blogs de la historia del deporte.</t>
  </si>
  <si>
    <t>http://www.ochobre34-asturies.blogspot.com</t>
  </si>
  <si>
    <t>Josep Maria Calverol</t>
  </si>
  <si>
    <t>Me pregunto si Pablo Casado no tendrá también un máster en Historia de España:</t>
  </si>
  <si>
    <t>Màster en Comunicació Científica a la BSM. Aprenent d'escriptor a l'Ateneu Barcelonès i projecte de divulgador. A mig fer, doncs. Mai és tard per aprendre.</t>
  </si>
  <si>
    <t>Pouer                                    ™</t>
  </si>
  <si>
    <t>Se puede ser idiota, luego está Pablo Casado.</t>
  </si>
  <si>
    <t>El Madriz de Leganés</t>
  </si>
  <si>
    <t>Hipertenso con gafas.</t>
  </si>
  <si>
    <t>Antoshka</t>
  </si>
  <si>
    <t>Pablo Casado llamando fascista a alguien es argumento de autoridad. Un sello de calidad.</t>
  </si>
  <si>
    <t>Atado y bien atado.</t>
  </si>
  <si>
    <t>Taboo 🇪🇸</t>
  </si>
  <si>
    <t>Español, blanco y trabajador,me gusta el jamoncito ibérico y el Ribera del Duero hoy en día en nuestra querida España lo que viene a ser Taboo☘️.</t>
  </si>
  <si>
    <t>Xavi compite con mi madre en subjetividad. 😚😚😚😚 RT @Xavier__Martin: Maravilla la forma en la que presenta este @pablo_casado en @eldebatedehoy. No es por que sea amigo, es que tiene esa voz clásica radiofónica que a todos nos recuerda a alguien conocido. (Cultura y Debate): “La cultura que se inspira en las estrellas”.</t>
  </si>
  <si>
    <t>https://twitter.com/Xavier__Martin/status/1064123370969735168
http://www.ivoox.com/30098587</t>
  </si>
  <si>
    <t>Oscar Díaz</t>
  </si>
  <si>
    <t>Francisco Ruiz</t>
  </si>
  <si>
    <t>Juan Lucena</t>
  </si>
  <si>
    <t>Pablo Casado acusa a Pedro Sánchez de "traición" por no exigir "un Gibraltar español"</t>
  </si>
  <si>
    <t>Con el puño cerrado no se puede intercambiar un apretón de mano. (Indira Gandhi)</t>
  </si>
  <si>
    <t>#Casado ha venido a #Andalucía a hacer campaña para aplicar el 155 en #Cataluña, ilegalizar a la #CUP, desbancar a Pedro @sanchezcastejon , reclamar la soberanía para #Gibraltar,denunciar la política #migratoria del #Gobierno y no sé si algo de #Franco ...</t>
  </si>
  <si>
    <t>Jorge Matías</t>
  </si>
  <si>
    <t>Pablo Casado suelta una estupidez colosal, pero los comentarios a la noticia criticándole son igual de paletos. RT @ElHuffPost: Pablo Casado: "Los españoles no colonizábamos, lo que hacíamos era tener una España más grande"</t>
  </si>
  <si>
    <t>https://twitter.com/ElHuffPost/status/1063863525859360769?s=19
https://www.huffingtonpost.es/2018/11/17/pablo-casado-los-espanoles-no-colonizabamos-lo-que-haciamos-era-tener-una-espana-mas-grande_a_23592393/</t>
  </si>
  <si>
    <t>Ídolo del extrarradio.</t>
  </si>
  <si>
    <t>MARACAY24HRS ®</t>
  </si>
  <si>
    <t>"Gibraltar español": el mantra de Pablo Casado en la campaña para las elecciones de Andalucía 2018</t>
  </si>
  <si>
    <t>http://dlvr.it/QrXh5H</t>
  </si>
  <si>
    <t>Maracay, Aragua, Venezuela</t>
  </si>
  <si>
    <t>Compartimos todo sobre actividad en la Ciudad Jardín. Síguenos y envía un DM con tu mensaje #Sucesos #NoticiasNacionales #Deportes</t>
  </si>
  <si>
    <t>laspalmas69</t>
  </si>
  <si>
    <t>Pablo casado cuando se entero que no seria juzgado por su master gratuito en la URJC RT @al3reap: الشباب بعد أول أسبوع من تمارين بناء الأجسام .</t>
  </si>
  <si>
    <t>https://twitter.com/al3reap/status/1055271781228036096</t>
  </si>
  <si>
    <t>pic.twitter.com/vnzPBmjBcQ</t>
  </si>
  <si>
    <t>Marte(el planeta rojo)</t>
  </si>
  <si>
    <t>Fundador de la siesta española sin pijama. Soy el camello de @loscarnaless</t>
  </si>
  <si>
    <t>Pablo Casado acusa a Pedro Sánchez de "traición" por no exigir "un Gibraltar español"  vía @elmundoes eso sí que es carga. Acepta el tratado de Utrecht</t>
  </si>
  <si>
    <t>Mary Paz</t>
  </si>
  <si>
    <t>El cóndor símbolo de la "libertad de los pueblos" y del "amor eterno" 🗽🕊️✌️☮️ Dijo Cervantes "La Libertad es el Don más preciado que los seres humanos poseemos"</t>
  </si>
  <si>
    <t>Ismael Ruiz</t>
  </si>
  <si>
    <t>Esta necedad la ha soltado Pablo Casado en campaña electoral andaluza, es una necedad muy importante para explicarnos cuál es el programa del PP para Andalucía #EleccionesAndaluzas RT @ElHuffPost: Pablo Casado: "Los españoles no colonizábamos, lo que hacíamos era tener una España más grande"</t>
  </si>
  <si>
    <t xml:space="preserve">Andalucía y Madrid </t>
  </si>
  <si>
    <t>Otro mundo es posible y necesario o nos extinguirá</t>
  </si>
  <si>
    <t>"No era colonialismo... Lo que hacíamos era tener una España más grande, y libre ". Pablo Casado, Máster por la Universidad Juan Carlos I de Madrid. RT @jpermach: Si no fuera porque el colonialismo español supuso decenas de miles de muertos, torturas, malos tratos, saqueo de bienes y rentas e imposición de lengua, cultura e institiciones haría un chiste sobre la frase. Pero no, en mi opinión es demasiado grave como para hacer chistes...</t>
  </si>
  <si>
    <t>https://twitter.com/jpermach/status/1064221109338468353</t>
  </si>
  <si>
    <t>https://pbs.twimg.com/media/DsTfc86WoAQRHTv.jpg</t>
  </si>
  <si>
    <t>Galego da Coruña en Gipuzkoa. Galiziar bat Euskal Herrian. \☆\ #Depor. Nahiz eta lan arloko abokatua izan, justizian sinisten dut. Abertzale eta marxista.</t>
  </si>
  <si>
    <t>gortiz</t>
  </si>
  <si>
    <t>¡Ese tio es mas corto que el rabo de una pasa!</t>
  </si>
  <si>
    <t>Todos nacemos con un color de piel, ciertos rasgos físicos y hablamos una lengua¡¡Nada de ello elegido libremente!!</t>
  </si>
  <si>
    <t>tokyo</t>
  </si>
  <si>
    <t>Pablo Casado me da pánico</t>
  </si>
  <si>
    <t>鳳凰 | 0</t>
  </si>
  <si>
    <t>avant garde</t>
  </si>
  <si>
    <t>jordinogues</t>
  </si>
  <si>
    <t>Pablo Casado y el Jess Extender patrio.</t>
  </si>
  <si>
    <t>[sine loco]</t>
  </si>
  <si>
    <t>Tempus fugit de pressa [sine data]. Ni oblit ni perdó.</t>
  </si>
  <si>
    <t>Samuel</t>
  </si>
  <si>
    <t>Cuando Pablo Casado dice que no son elecciones andaluzas si no la primera vuelta de las generales y los mitines lo utiliza para hablar de Catalunya, lo que quiere decir es que al PP les da completamente igual los adnaluces y las andaluzas, ahí también lo dan por perdido</t>
  </si>
  <si>
    <t>Ciudad 17</t>
  </si>
  <si>
    <t>Lvl 22 - Millenial Gama Baja // Derribar muros, construir puentes // Resistencia // Sí Se Puede</t>
  </si>
  <si>
    <t>La excusa de la visita de Pablo Casado a Jerez era presentar un proyecto del PP para hacer de Jerez la capital mundial del flamenco en 2020. Sobre las 15:00, sin Juanma Moreno, Casado llegaba al tablao Puro Arte. #EleccionesAndaluzas</t>
  </si>
  <si>
    <t>http://ddjerez.info/oveen1</t>
  </si>
  <si>
    <t>Pablo Aguilar</t>
  </si>
  <si>
    <t>Hoy he animado una comunión con una amiga y uno de los tíos de la niña que había comulgado era IGUAL que Pablo Casado</t>
  </si>
  <si>
    <t>195cm de Farmacia. Baloo, Grupo Scout Entaban 612. Siempre se puede mejorar un poco más</t>
  </si>
  <si>
    <t>https://www.instagram.com/pabloaguilarmarin/?hl=es</t>
  </si>
  <si>
    <t>Mario Regueira</t>
  </si>
  <si>
    <t>"Nosotros no colonizábamos, nosotros lo que hacíamos era tener una España más grande". LOL</t>
  </si>
  <si>
    <t>Escritor. Fago crítica no @SermosGaliza. Comodoro da @radioburan.</t>
  </si>
  <si>
    <t>http://marioregueira.gal</t>
  </si>
  <si>
    <t>Pablo Casado y Juanma Moreno, menudo equipo. Andalucía tiene que mirar al futuro de una vez después de 40 años de engaño socialista. ¡Vamos a por todas!</t>
  </si>
  <si>
    <t>https://pbs.twimg.com/media/DsTh9v5XcAAyhVR.jpg</t>
  </si>
  <si>
    <t>Manuel Navarro Cerro</t>
  </si>
  <si>
    <t>Programa de Pablo Casado:1)Gibraltar español 2)No fue conquista sino hacer España más grande en América 3)Tanto monta monta tanto, Isabel y Fernando.</t>
  </si>
  <si>
    <t>Neochorrerana</t>
  </si>
  <si>
    <t>Point yourself in the direction of your dreams</t>
  </si>
  <si>
    <t>HuelvaYA</t>
  </si>
  <si>
    <t>Pablo Casado visita Cartaya, Lepe, Ayamonte e Isla este lunes</t>
  </si>
  <si>
    <t>http://huelvaya.es/2018/11/18/pablo-casado-visita-cartaya-lepe-ayamonte-e-isla-este-lunes/</t>
  </si>
  <si>
    <t>Periódico Digital de Huelva</t>
  </si>
  <si>
    <t>http://www.huelvaya.es</t>
  </si>
  <si>
    <t>Alber_Olano_Andres</t>
  </si>
  <si>
    <t>http://accessdrone.es/</t>
  </si>
  <si>
    <t>Empujando a los que emprenden un nuevo camino</t>
  </si>
  <si>
    <t>http://www.flickr.com/photos/alber_olano/</t>
  </si>
  <si>
    <t>http://ddsevilla.info/h3qz71</t>
  </si>
  <si>
    <t>RoCaT</t>
  </si>
  <si>
    <t>El coche del líder del PP en Catalunya ha aparecido pintado con la esvàstica. Segun Pablo Casado demuestra la intolerància en Catalunya de los lazos amarillos</t>
  </si>
  <si>
    <t>Republicano Español</t>
  </si>
  <si>
    <t>Casado: "Los españoles no colonizábamos, lo que hacíamos era tener una España más grande" 😂😂😂😂😂😂eso lo aprendió en el Falso Máster que sacó en Aravaca</t>
  </si>
  <si>
    <t>Republica Española</t>
  </si>
  <si>
    <t>Republicano harto de una monarquía impuesta por los franquistas para seguir manteniendo sus privilegios #Referendumya #SiSePuede Militante activo de Podemos</t>
  </si>
  <si>
    <t>Doctor Espeto</t>
  </si>
  <si>
    <t>Dice Pablo Casado que votar s VOX es tirar el voto a la basura. Pues VOX aún no le ha dado tiempo de fallarnos y el PP si nos ha fallado, por lo que votar al PP si que es tirarlo a la basura.</t>
  </si>
  <si>
    <t>El fantasma de Jack Dawson me persigue para pedirme tabaco.</t>
  </si>
  <si>
    <t>Felipe Ibarra</t>
  </si>
  <si>
    <t>#Ridículo 'Gibraltar español': el mantra de @pablocasado_ en la campaña para las elecciones de Andalucía 2018 (parece que el #master de la #reyjuancarlos @urjc era en historia o histeria)</t>
  </si>
  <si>
    <t>El Raval, Barcelona</t>
  </si>
  <si>
    <t>Dr(c)Arqto- MS Teoría e Historia del Arte y Arq- MSUrbanismo- MS Arq y Sostenibilidad -Dip.Art i Acció Social -Dip. Cs de Comunicación- Placer culpable: fútbol</t>
  </si>
  <si>
    <t>ENIAC</t>
  </si>
  <si>
    <t>Casado pide de nuevo el 155 para Catalunya desde Andalucía e ilegalizar partidos como la CUP @lavanguardia  Es el efecto Pisuerga crossing Valladolid</t>
  </si>
  <si>
    <t>Area 51Nevada. Area 52Granizo</t>
  </si>
  <si>
    <t>Bit, bit, biit. bit naranja...</t>
  </si>
  <si>
    <t>Gerard</t>
  </si>
  <si>
    <t>Mejor condón bien guardado que tener un hijo como Pablo Casado</t>
  </si>
  <si>
    <t xml:space="preserve">La Llagosta (Barcelona) </t>
  </si>
  <si>
    <t>Arqueología, UAB📚 Apasionado del FCB y del Fútbol⚽ También de la Historia🌍 y 📖 ||*|| Instagram📸: gerardbartalot5</t>
  </si>
  <si>
    <t>★♡ SeXy BaRbieE ★♡</t>
  </si>
  <si>
    <t>http://dlvr.it/QrXZv9</t>
  </si>
  <si>
    <t>♫♪ ParescoO una muñeca... peroO soy de carne y huesoOs ♫♪♫</t>
  </si>
  <si>
    <t>https://www.facebook.com/barbie.felizindahause?ref=tn_tnmn</t>
  </si>
  <si>
    <t>La historia según Pablo Casado.  via @El_Plural</t>
  </si>
  <si>
    <t>https://pbs.twimg.com/media/DsTc-vzWoAADscj.jpg</t>
  </si>
  <si>
    <t>En un mismo mitin puedes pedir vallas para Ceuta y Melilla, y quitar verjas en Gibraltar. Pablo Casado onfire! #AdelanteAndalucía</t>
  </si>
  <si>
    <t>https://m.huffingtonpost.es/amp/2018/11/18/casado-en-el-mismo-mitin-del-no-queremos-verja-en-gibraltar-al-respetar-las-fronteras-en-ceuta-y-melilla_a_23592866/#click=https://t.co/Hqz11PjEbb</t>
  </si>
  <si>
    <t>https://pbs.twimg.com/media/DsTcgeIXgAAVUh6.jpg</t>
  </si>
  <si>
    <t>ISABEL RAMOS</t>
  </si>
  <si>
    <t>𝕽𝖆𝖉𝖎𝖔 𝕻𝖔𝖑𝖑𝖆 𝕱𝖒 ℹ</t>
  </si>
  <si>
    <t>𝕴𝖓𝖉𝖊𝖕𝖊𝖓𝖉𝖊𝖓𝖈𝖎𝖆 &amp; 𝖍𝖚𝖒𝖔𝖗, 𝕾𝖎 𝖒𝖊 𝖘𝖎𝖌𝖚𝖊𝖘 𝖊𝖘 𝖇𝖆𝖏𝖔 𝖙𝖚 𝖗𝖊𝖘𝖕𝖔𝖓𝖘𝖆𝖇𝖎𝖑𝖎𝖉𝖆𝖉.</t>
  </si>
  <si>
    <t>ALFONSO</t>
  </si>
  <si>
    <t>Pablo Casado nos está vendiendo que la sentencia de GURTEL no tiene nada que ver con el PP actual, igual que antes nos vendieron que la condena de Urdangarín no tiene nada que ver con la Casa Real. Creo que nos toman por idiotas y lo peor es que nos lo merecemos.</t>
  </si>
  <si>
    <t>MD, no, gracias.</t>
  </si>
  <si>
    <t>Estoy en esa edad tan peligrosa en la que el cigarrillo de después siempre me lo fumo antes, por si acaso.</t>
  </si>
  <si>
    <t>http://t52m.blogspot.com.es</t>
  </si>
  <si>
    <t>Pablo Casado nega el passat colonitzador d’Espanya a Amèrica en defensa de “la madre patria” "Nosotros no colonizábamos, nosotros lo que hacíamos es tener una España más grande", ha dit  👹😂👹😂👹😂👹😂👹😂👹😂👹😂👹😂</t>
  </si>
  <si>
    <t>http://LaRepublica.cat</t>
  </si>
  <si>
    <t>https://pbs.twimg.com/media/DsTb7vKWsAE5hqZ.jpg</t>
  </si>
  <si>
    <t>La obscena felonía de Pablo Casado, trunca expectativas del PP. Tras enfrentarse a Soraya para derrotarla en buena lid, debe rectificar el infame trueque de cromos del CGPJ. Con mano dura tiene que extirpar el sistema corrupto y hacer rodar cabezas, si quiere salvar su pellejo.🇪🇸</t>
  </si>
  <si>
    <t>https://pbs.twimg.com/media/DsTbXi0XQAAJpff.jpg</t>
  </si>
  <si>
    <t>Rubén Maica</t>
  </si>
  <si>
    <t>"Pablo Casado contra la Historia"  ⁦@Guerraeterna⁩ #feedly</t>
  </si>
  <si>
    <t>Maturín Edo. Monagas Venezuela</t>
  </si>
  <si>
    <t>En cualquier lugar que me sorprenda la muerte, bienvenida sea! #ChavistaAMuerte! #OrgullosamenteChavistaHoyYSiempre #YoSoyTigrero #NoCorrupto @PDVSA @VoceriaPES</t>
  </si>
  <si>
    <t>Os imaginaís que el MHP Torra, pidiera carcel y la ilegalización del @PPopular por ser el partido más corrupto de Europa, y banda criminal por su corrupción? @pablocasado_ Pues eso. #MásterdelUniverso</t>
  </si>
  <si>
    <t>Eduard 🐘</t>
  </si>
  <si>
    <t>Pablo Casado : "Nosotros no colonizábamos, hacíamos una España más grande" Lo aprendió en la @urjc</t>
  </si>
  <si>
    <t>Vaig néixer amb dictadura, he crescut amb transició i vull envellir amb independència. Visca la terra !!*!!</t>
  </si>
  <si>
    <t>Según Pablo Casado, América no es un continente sino una extensión de la península ibérica.</t>
  </si>
  <si>
    <t>Albacete, España</t>
  </si>
  <si>
    <t>Soñar no cuesta nada, lo que cuesta es levantarse.</t>
  </si>
  <si>
    <t>Emilio M. Cañas</t>
  </si>
  <si>
    <t>Pablo Casado, de nuevo en Jerez... Berza y flamenco de Jerez para Casado  vía @diariodejerez</t>
  </si>
  <si>
    <t>https://www.diariodejerez.es/_4d946258</t>
  </si>
  <si>
    <t>Periodista. Redactor de @diariodejerez Roteño de cuna y de carné, pero mis dos jerezanas me han traído hasta #jerez. Y bético del universo...</t>
  </si>
  <si>
    <t>https://www.diariodejerez.es/emilio_canas/</t>
  </si>
  <si>
    <t>LUCAS</t>
  </si>
  <si>
    <t>pic.twitter.com/QvHqJdizRD</t>
  </si>
  <si>
    <t>Ayuda a los apartados y marginados y te alegraras, da a los pobres!! Ayuda al inmigrante, ama a tu projimo como a ti mismo. Y toma el sol y una cervesita!! Ole</t>
  </si>
  <si>
    <t>Tempus Wasabi  🇪🇸</t>
  </si>
  <si>
    <t>Pablo Casado acusa a Pedro Sánchez de ‘traición’ por no exigir ‘un Gibraltar español’</t>
  </si>
  <si>
    <t>https://www.republica.com/2018/11/18/pablo-casado-acusa-a-pedro-sanchez-de-traicion-por-no-exigir-un-gibraltar-espanol/</t>
  </si>
  <si>
    <t>El cielo de España</t>
  </si>
  <si>
    <t>Trabajo en House Water Watch Cooper, auditamos relojes acuáticos desde la casa del Sr. Cooper. Wasabista. Fan de Machado. Azotador de periodistas cincuentañeras</t>
  </si>
  <si>
    <t>Flipoooo, y dicen que @sanchezcastejon y @Pablo_Iglesias_ son "POPULISTAS" y "VENDEHUMOS". Pablo Casado acusa a Pedro Sánchez de "traición" por no exigir "un Gibraltar español"  vía @elmundoes</t>
  </si>
  <si>
    <t>Kenpachi</t>
  </si>
  <si>
    <t>Vamos a hablar claro: Si Juan Soto Ivars hubiera tenido un padrino como Pablo Casado, desde antes que se hiciera pajas, habría estado en las juventudes populares. Como no lo tiene le queda escribir chorradas y esconder su gusto por la derecha</t>
  </si>
  <si>
    <t>Neo-Tokyo</t>
  </si>
  <si>
    <t>Tu química con mi piel hace carga positiva</t>
  </si>
  <si>
    <t>https://goo.gl/Wcixss</t>
  </si>
  <si>
    <t>🇪🇸 🇪🇸 Agustin Ferrer 🇪🇸 🇪🇸</t>
  </si>
  <si>
    <t>Reino de Valencia</t>
  </si>
  <si>
    <t>Valenciano criado en Valencia. De derechas y con derechos. no soporto los cristianofobicos, podemitas y comunistas. Bloqueo rojos incultos.</t>
  </si>
  <si>
    <t>Mikel Prat</t>
  </si>
  <si>
    <t>Pedro Sánchez alias soyelpresidentedelgobierno y Pablo Casado alias todoestraiciónaEspaña.</t>
  </si>
  <si>
    <t>Las Palmas de GC</t>
  </si>
  <si>
    <t>Enterao a secas y buenista (viva la RAE). Siempre opinión personal. Tuiteo fuera de horario laboral.</t>
  </si>
  <si>
    <t>#FelizLunes La Falange campamdo a sus anchas VOX con posibilidades d obtener algún escaño Y como colofón: Pablo Casado reescribiendo la historia para recordar k ellos son la autentica extrema derecha. Sin olvidar su muleta, Albert Rivera Pablo Casado: El Historiador⤵️ Dentro📽️</t>
  </si>
  <si>
    <t>Cesar Villasante</t>
  </si>
  <si>
    <t>Javier Blanco</t>
  </si>
  <si>
    <t>Tenemos a un pez que ha nacido con una deficiencia, como Pablo Casado, solo que al pez si le queremos.</t>
  </si>
  <si>
    <t>De aviones y musica se poco. De lo demas casi nada.</t>
  </si>
  <si>
    <t>Galicia, SPAIN</t>
  </si>
  <si>
    <t>Freelance Photographer - Free thinker - Vegan activist</t>
  </si>
  <si>
    <t>http://www.facebook.com/JavierBlanco.NET</t>
  </si>
  <si>
    <t>Según Pablo Casado, no se colonizó America, se expandia territorio como en el Total Wars RT @eldiarioes: Pablo Casado revisa la Historia de América en la campaña andaluza: "Nosotros no colonizábamos, hacíamos una España más grande"  Lo cuenta @inigoaduriz</t>
  </si>
  <si>
    <t>Madrid, viernes 16 de noviembre de 2018... ¿Albert Rivera y Pablo Casado tienen algo que decir sobre estos "rompedores de España"?</t>
  </si>
  <si>
    <t>https://www.facebook.com/josegabrielz/posts/1909751705727831</t>
  </si>
  <si>
    <t>Salvador Rodriguez</t>
  </si>
  <si>
    <t>VÍDEO | Pablo Casado: "¿Qué otro país puede decir que un nuevo mundo fue descubierto por ellos?"  vía @eldiarioes</t>
  </si>
  <si>
    <t>https://m.eldiario.es/_312a7b41</t>
  </si>
  <si>
    <t>#ElFascismoEsIncultura Pablo Casado contra la Historia.</t>
  </si>
  <si>
    <t>https://www.meneame.net/story/pablo-casado-contra-historia</t>
  </si>
  <si>
    <t>Richi</t>
  </si>
  <si>
    <t>Somos CLM</t>
  </si>
  <si>
    <t>Pablo Casado abrirá el 12 de diciembre el II Congreso Internacional de AFAMMER con una charla sobre libertad e igualdad ➡️</t>
  </si>
  <si>
    <t>https://somoscastillalamancha.com/clm/pablo-casado-abrira-el-12-de-diciembre-el-ii-congreso-internacional-de-afammer-con-una-charla-sobre-libertad-e-igualdad/</t>
  </si>
  <si>
    <t>https://pbs.twimg.com/media/DsTVCNRWsAE1YlW.jpg</t>
  </si>
  <si>
    <t>Castilla-La Mancha, España</t>
  </si>
  <si>
    <t>Noticias e información de Castilla-La Mancha</t>
  </si>
  <si>
    <t>https://somoscastillalamancha.com</t>
  </si>
  <si>
    <t>GeekIndignado🎗️</t>
  </si>
  <si>
    <t>Pablo Casado diciendo que no colonizábamos, que tan sólo buscábamos una ESPAÑA GRANDE... y luego hay quien se sorprenda de que la falange siga existiendo.</t>
  </si>
  <si>
    <t>la Яesistencia</t>
  </si>
  <si>
    <t>No vine a entretener a tu familia mientras el mundo se cae a pedazos</t>
  </si>
  <si>
    <t>http://shr.gs/csH4Dab</t>
  </si>
  <si>
    <t>🛩️ Y si las descalificaciones del PP sobre Andalucía, llevarán la intención de cargarse a un candidato no afín a la dirección? 🚀 Lo que es evidente, es que las intervenciones de Pablo Casado en Andalucía, restan votos al PP mientras que suman para el PSOE</t>
  </si>
  <si>
    <t>https://m.eldiario.es/_31e00bd1</t>
  </si>
  <si>
    <t>Mariän</t>
  </si>
  <si>
    <t>Señores que le hacen a la política en #España y hacen “historia revisionista” como les canta 🤦🏽‍♀️ like Pablo Casado que dice que no hubo colonización en América y que algunos le dicen a su país madre patria porque -seguro- con esa referencia nació un continente WTF?!!</t>
  </si>
  <si>
    <t>indómita feliz 💚</t>
  </si>
  <si>
    <t>Dave Evans</t>
  </si>
  <si>
    <t>¿Pablo Casado entiende lo más básico de la democracia? #Gibraltar</t>
  </si>
  <si>
    <t>https://pbs.twimg.com/media/DsTR_xNX4AEn52d.jpg</t>
  </si>
  <si>
    <t>Hogwarts</t>
  </si>
  <si>
    <t>I will not make any deals with you. I will not be pushed, filed, stamped, indexed, briefed, debriefed or numbered. My life is my own.</t>
  </si>
  <si>
    <t>José Enebral</t>
  </si>
  <si>
    <t>No pretendo llevar razón (sólo decir lo que pienso), pero creo que Pablo Casado se supera cada día...</t>
  </si>
  <si>
    <t>No pretendo llevar razón, pero me gusta decir y escribir libremente lo que pienso... Antiguo alumno salesiano.</t>
  </si>
  <si>
    <t>Àngel</t>
  </si>
  <si>
    <t>He oido a Pablo Casado, ahora entiendo todo el follón sobre sus estudios.</t>
  </si>
  <si>
    <t>Veronica Hurtado</t>
  </si>
  <si>
    <t>Sánchez, Casado y Rivera elevan la intensidad de la campaña andaluza</t>
  </si>
  <si>
    <t>http://dld.bz/hfybh</t>
  </si>
  <si>
    <t>https://pbs.twimg.com/media/DsTPpEEXoAARU0B.jpg</t>
  </si>
  <si>
    <t>Médico de familia 👩‍👩‍👧 Sirviendo con consciencia, pasión y delicadeza 📍Sevilla</t>
  </si>
  <si>
    <t>Pablo Casado es un bachiller que está orgulloso de su ignorancia,y lo expresa a diario. Eso le convierte en un estúpido peligroso.</t>
  </si>
  <si>
    <t>Ramón de York</t>
  </si>
  <si>
    <t>Según Pablo Casado, Hitler no invadió Polonia, solo hizo una Alemania más grande.</t>
  </si>
  <si>
    <t xml:space="preserve">Greenbow, Alabama. </t>
  </si>
  <si>
    <t>Todos lo que escribo lo hago desde la más absoluta y total ignorancia. Segundo premio anual Montgomery Burns por logros destacados en el campo de la Excelencia.</t>
  </si>
  <si>
    <t>Franco no ha mort</t>
  </si>
  <si>
    <t>pues nada, aprovechad que ahora estan un poco distraidos con el tema del brexit y mandad a vuestro poderos ejercito a reconquistar peñon que esos ingleses son medio gilipollas y no se enteran</t>
  </si>
  <si>
    <t>https://www.elnacional.cat/ca/politica/pablo-casado-exhuma-retorica-franquista-reclama-gibraltar-espanyol_325791_102.html</t>
  </si>
  <si>
    <t>https://pbs.twimg.com/media/DsTOqaBWoAAHcGB.jpg</t>
  </si>
  <si>
    <t>Un ciutadà normal que vol viure en un país normal, vull la llibertat pel meu país i per la meva gent //*\\</t>
  </si>
  <si>
    <t>http://dlvr.it/QrXPbY</t>
  </si>
  <si>
    <t>https://pbs.twimg.com/media/DsTOf_hVYAAPhns.jpg</t>
  </si>
  <si>
    <t>Imposible es solo una opinión</t>
  </si>
  <si>
    <t>Pablo Casado, te refieres a la cultura de &gt; 'tanto por ciento, caja B, C, reparto de sobres B'.... q habéis universalizado? Eso es &amp;gt; #VotaGarantiaDeCambio? RT @PPopular: 👉 @pablocasado_: “Cuando presidamos España seguiremos velando por esta cultura con prestigio internacional que forma parte del resto de artes y genera también beneficios económicos”. #VotaGarantíaDeCambio</t>
  </si>
  <si>
    <t>https://twitter.com/PPopular/status/1064175097160683520</t>
  </si>
  <si>
    <t>https://pbs.twimg.com/media/DsS1mvpVsAA5SH6.jpg</t>
  </si>
  <si>
    <t>El Sótano</t>
  </si>
  <si>
    <t>¿Ya se puede llamar facha a Pablo Casado o aún no?</t>
  </si>
  <si>
    <t>https://pbs.twimg.com/media/DsTN4bOWkAIjwnH.jpg</t>
  </si>
  <si>
    <t>Lleida, República de Catalunya</t>
  </si>
  <si>
    <t>El sótano es frío, oscuro e incómodo pero es el lugar donde te refugiarías en caso de apocalipsis y ...donde guardas el vino. No se admiten fachas</t>
  </si>
  <si>
    <t>Torbat</t>
  </si>
  <si>
    <t>Democracia made in PP</t>
  </si>
  <si>
    <t>Vull viure en un país millor. Un país on ens gestionem millor i on fem les coses més ben fetes. Ni oblid, ni perdó. CAT</t>
  </si>
  <si>
    <t>L. Curiel</t>
  </si>
  <si>
    <t>El @PPopular no cambia. Lo lleva en la sangre Pablo Casado entrega la Justicia a Pedro Sánchez. -Luis del Pino/LD-  vía @hispaniafortius</t>
  </si>
  <si>
    <t>https://hispaniafortius.wordpress.com/2018/11/17/pablo-casado-entrega-la-justicia-a-pedro-sanchez-luis-del-pino-ld-ppopular-pablocasado_-felizsabado/</t>
  </si>
  <si>
    <t>España languidece y se rompe por culpa de una Casta Política corrupta. Es hora de cambiarla por gente decente: Con VOX</t>
  </si>
  <si>
    <t>Fran Barros</t>
  </si>
  <si>
    <t>Este sí que tiene una colonización mental cojonuda. Casado: "Los españoles no colonizábamos, lo que hacíamos era tener una España más grande"</t>
  </si>
  <si>
    <t>pola de lena, Asturias</t>
  </si>
  <si>
    <t>Asturiano, ferroviario, ugetista, socialista. Dueño de mi destino y compañero en el camino de mis amigos. Y enamorado hasta las trancas.</t>
  </si>
  <si>
    <t>wrodriguez</t>
  </si>
  <si>
    <t>Se nota que tiene un máster y estudios en Harvard. ¡Qué finura de conceptos!</t>
  </si>
  <si>
    <t>Pablo Casado:«La Catedral d Córdoba tiene q seguir administrada x la Iglesia».X derecho d Conquista d la España grande y católica?</t>
  </si>
  <si>
    <t>Pablo Casado contra la Historia  Por @Guerraeterna</t>
  </si>
  <si>
    <t>https://pbs.twimg.com/media/DsSYZYaWsAEFWrW.jpg</t>
  </si>
  <si>
    <t>Demócrito</t>
  </si>
  <si>
    <t>Pablo Casado acusa a Pedro Sánchez de traición por no haber reclamado con más energía un Gibraltar español....Con los buenos resultados que ha dado siempre la política del PP al respecto....</t>
  </si>
  <si>
    <t>Comentando noticias sin ton ni son; a la buena de Dios, sin línea editorial😜😜</t>
  </si>
  <si>
    <t>Pablo Casado: "Antes marcaban con estrellas amarillas, ahora con lazos"</t>
  </si>
  <si>
    <t>http://elperiodi.co/fl0fv2</t>
  </si>
  <si>
    <t>Antonio Saldaña</t>
  </si>
  <si>
    <t>Recuperando</t>
  </si>
  <si>
    <t>Portavoz PP Jerez. Secretario General PP Cádiz.Ingeniero de Caminos de profesión y en politica por http://xn--vocacin-q0a.MBA y Grado en derecho.Vinimos a servir</t>
  </si>
  <si>
    <t>Coordinadora Estatal para la Recuperación del Patrimonio Inmatriculado por la Iglesia</t>
  </si>
  <si>
    <t>laFM Radio</t>
  </si>
  <si>
    <t>#2D18 @pablocasado_ exige una “mejor Andalucía para todos” y carga contra el gobierno “corrupto” de Susana Díaz</t>
  </si>
  <si>
    <t>http://www.la-fm.es/2018/11/18/pablo-casado-exige-una-mejor-andalucia-para-todos-y-carga-contra-el-gobierno-corrupto-de-diaz/</t>
  </si>
  <si>
    <t>https://pbs.twimg.com/media/DsTJ1GpWsAAX_rO.jpg</t>
  </si>
  <si>
    <t>#Ahora, la radio. Somos #provincia de Cádiz. Tú tienes la palabra en teescuchamos@la-fm.es</t>
  </si>
  <si>
    <t>http://www.la-fm.es</t>
  </si>
  <si>
    <t>Correo de Andalucía</t>
  </si>
  <si>
    <t>Elecciones andaluzas | Pablo Casado enarbola la bandera andaluza y llama a "llenar las urnas de votos del PP"</t>
  </si>
  <si>
    <t>http://elcorreoweb.es/andalucia/casado-enarbola-la-bandera-andaluza-y-llama-a-llenar-las-urnas-de-votos-del-pp-XJ4649202</t>
  </si>
  <si>
    <t>Actualidad y noticias de Sevilla y su provincia. Síguenos también en https://www.facebook.com/elcorreoweb</t>
  </si>
  <si>
    <t>http://elcorreoweb.es/</t>
  </si>
  <si>
    <t>mhuelaicismo</t>
  </si>
  <si>
    <t>http://www.mhuel.org/</t>
  </si>
  <si>
    <t>Movimiento Hacia Un Estado Laico es una asociación aragonesa que busca la separación Iglesia-Estado (educación pública y laica, derogación del Concordato)</t>
  </si>
  <si>
    <t>https://paper.li/monteoscuro_/1444166708</t>
  </si>
  <si>
    <t>Cualquiera que viese las noticias pensaría que el candidato del PP a la Junta de Andalucía es Pablo Casado y no @JuanMa_Moreno. #EleccionesAndaluzas</t>
  </si>
  <si>
    <t>Belkis A,Merchán G.</t>
  </si>
  <si>
    <t>En serio?? Pablo Casado:"Los españoles NO Colonizábamos"... Sí claro, como que saquear pueblos,violar mujeres indígenes,traficar y explotar a humanos.... Según @pablocasado_ eso NO, no es "Colonizar".... Ok ESTAS CLARO!!!... 😒🙄</t>
  </si>
  <si>
    <t>https://www.huffingtonpost.es/2018/11/17/pablo-casado-los-espanoles-no-colonizabamos-lo-que-haciamos-era-tener-una-espana-mas-grande_a_23592393/?utm_source=taboola&amp;utm_medium=referral</t>
  </si>
  <si>
    <t>Carabobo,Venezuela</t>
  </si>
  <si>
    <t>Gobierno Abierto, Transparencia, Feminismo...</t>
  </si>
  <si>
    <t>http://ve.linkedin.com/pub/belkis-a-merch%C3%A1n-g/63/21b/617</t>
  </si>
  <si>
    <t>PGS Spanish</t>
  </si>
  <si>
    <t>GIBRALTAR E INMIGRACIÓN - LAS DOS GRANDES REIVINDICACIONES DEL PP CONTRA EL PSOE Casado reivindica un "Gibraltar español" y culpa a Sánchez de "traición"</t>
  </si>
  <si>
    <t>https://www.20minutos.es/noticia/3494665/0/pablo-casado-reivindica-gibraltar-espanol-culpa-sanchez-traicion?utm_source=twitter.com&amp;utm_medium=socialshare&amp;utm_campaign=mobile_app</t>
  </si>
  <si>
    <t>portsmouth</t>
  </si>
  <si>
    <t>Alí BM</t>
  </si>
  <si>
    <t>🇬🇮🇪🇸 Pablo Casado reivindica un "Gibraltar español"  vía @20m</t>
  </si>
  <si>
    <t>Political science (Universidad de Granada &amp; Uniwersytet Jagielloński)</t>
  </si>
  <si>
    <t>maria de la navarra</t>
  </si>
  <si>
    <t>Pablo Casado tiene un trap que dice.... Gibraltar español 🎵 los monos son mi amor🎵 me siento en el peñón 🎵 y eres tan chiquito que no da pa mas cancion 🎵</t>
  </si>
  <si>
    <t>Pablo Casado :Al Sociatas ni agua así sé pongan de rodillas ,por favor Presidente Pablo Casado:Si sé han despilfarrado los presupuestos que había en los viajecitos del FALCON y Conciertos y Regalando los dineros a los golpistas fugados y los encarcelados y independientistas A,YAG RT @MarisaVargas_R: !!SANCHEZ VETE YAAAAA!! Sánchez implora ayuda a PP y Cs con los Presupuestos y aspira a eternizarse  vía @ESdiario_com</t>
  </si>
  <si>
    <t>https://twitter.com/MarisaVargas_R/status/1064190089599885314
https://www.esdiario.com/238146891/Sanchez-implora-ayuda-a-PP-y-Cs-con-los-Presupuestos-y-aspira-a-eternizarse.html</t>
  </si>
  <si>
    <t>Realmente, el nuevo presidente del PP (partido condenado por corrupción, no debemos olvidarlo) Pablo Casado, es así, o se lo hace.</t>
  </si>
  <si>
    <t>Los líderes de PSOE, PP y Ciudadanos apoyan a sus respectivos candidatos a la presidencia a la Junta y trasladan a Andalucía el debate nacional</t>
  </si>
  <si>
    <t>https://www.lavanguardia.com/politica/20181118/453013354456/elecciones-andalucia-pedro-sanchez-pablo-casado-albert-rivera.html?utm_source=twitter_lv&amp;utm_medium=social</t>
  </si>
  <si>
    <t>FIY2020.Año Internacional del Flamenco. Hoy con nuestro presidente Pablo Casado en Jerez.</t>
  </si>
  <si>
    <t>https://pbs.twimg.com/media/DsTFkouWkAIrlWW.jpg</t>
  </si>
  <si>
    <t>Gaceta de Salamanca</t>
  </si>
  <si>
    <t>🔴 Pablo Casado exige un "Gibraltar español" en la campaña electoral de Andalucía 👉</t>
  </si>
  <si>
    <t>http://ow.ly/whXw30mF0vO</t>
  </si>
  <si>
    <t>Información de Salamanca. Periodismo. Comunicación. Entretenimiento</t>
  </si>
  <si>
    <t>http://www.lagacetadesalamanca.es</t>
  </si>
  <si>
    <t>VÍDEO | "Gibraltar español": el mantra de Pablo Casado en la campaña para las elecciones de Andalucía 2018</t>
  </si>
  <si>
    <t>http://atres.red/wkitb4</t>
  </si>
  <si>
    <t>El Historiador Pablo Casado alias "EL CONVALIDADO PLAGIADOR SALVINIANO Y PRESCRITO" dice: "Los españoles no colonizábamos, lo que hacíamos era tener una España más grande" 🤔No sé, pero tengo la sensación de que la EGB y el COU también se la convalidaron😱</t>
  </si>
  <si>
    <t>Republica.com</t>
  </si>
  <si>
    <t>Pablo Casado acusa a Pedro Sánchez de 'traición' por no exigir 'un Gibraltar español'</t>
  </si>
  <si>
    <t>https://pbs.twimg.com/media/DsTDo9WXoAEtE_t.jpg</t>
  </si>
  <si>
    <t>Frente al periodismo de partido entra en http://www.republica.com, el periódico en Internet que lidera Pablo Sebastián.</t>
  </si>
  <si>
    <t>http://www.republica.com</t>
  </si>
  <si>
    <t>camfb</t>
  </si>
  <si>
    <t>ANÁLISIS. Los datos sobre el impacto económico de la inmigración de los que no habla Pablo Casado  vía @desalambre</t>
  </si>
  <si>
    <t>https://m.eldiario.es/_2eaf053c</t>
  </si>
  <si>
    <t>pobreza energética</t>
  </si>
  <si>
    <t>suit</t>
  </si>
  <si>
    <t>Pablo Casado, eres más ignorante de lo que pareces...vuelve a hacer la EGB,y sobretodo repasa la materia de Historia!</t>
  </si>
  <si>
    <t>Barcelona,Cat.</t>
  </si>
  <si>
    <t>https://twitter.com/PPopular/status/1064133996722843650</t>
  </si>
  <si>
    <t>https://pbs.twimg.com/media/DsSQOZ6U0AAlO8d.jpg</t>
  </si>
  <si>
    <t>Avelino Fernández</t>
  </si>
  <si>
    <t>Pablo Casado entrega la Justicia a Pedro Sánchez - Los enigmas del 11M</t>
  </si>
  <si>
    <t>Mallorca Spain</t>
  </si>
  <si>
    <t>#biencomún #economía #www #gobiernointernet #euro #cambio #decrecimiento #cultura #libertad @conpymeSpain #formación #emprendedor #rse #ValoresSolidarios</t>
  </si>
  <si>
    <t>http://goo.gl/Uor9D8</t>
  </si>
  <si>
    <t>camdefer</t>
  </si>
  <si>
    <t>La Antartida</t>
  </si>
  <si>
    <t>100% anticomunista, antianticapitalista, antiantisistema, antiokupa, antigolpistas.</t>
  </si>
  <si>
    <t>JULIO RAFAEL PEREZ R</t>
  </si>
  <si>
    <t>https://twitter.com/IdiazAyuso/status/1063778334369292289
https://twitter.com/eldiarioes/status/1063776742714822656?s=21</t>
  </si>
  <si>
    <t>VENEZUELA</t>
  </si>
  <si>
    <t>SE TU MISMO PARA QUE NADIE TE CONFUNDA</t>
  </si>
  <si>
    <t>Galgo Rojo 🎗🏳️‍🌈❤️🧡💜</t>
  </si>
  <si>
    <t>Pablo Casado no coloniza, solo culturiza a sus votantes. La nueva historia abre sus puertas! RT @eldiarioes: Pablo Casado revisa la Historia de América en la campaña andaluza: "Nosotros no colonizábamos, hacíamos una España más grande"  Lo cuenta @inigoaduriz</t>
  </si>
  <si>
    <t>Si es bueno vivir, todavía es mejor soñar, y lo mejor de todo, despertar. (Antonio Machado) Rojo como el tomate, republicano y deseando que España cambie.</t>
  </si>
  <si>
    <t>Shlero</t>
  </si>
  <si>
    <t>He soñado con Pablo casado</t>
  </si>
  <si>
    <t>En la mierda</t>
  </si>
  <si>
    <t>¿Que hago, le bajo la pluma? I'm a glamazon Bitch ready 4 the runway</t>
  </si>
  <si>
    <t>martinezvelazquez</t>
  </si>
  <si>
    <t>Gracias Pablo Casado, mas votos para VOX. RT @FrayJosepho: Pablo Casado entrega la Justicia a Pedro Sánchez, por @ldpsincomplejos  vía @libertaddigital</t>
  </si>
  <si>
    <t>https://twitter.com/FrayJosepho/status/1064064105361870848
http://blogs.libertaddigital.com/enigmas-del-11-m/pablo-casado-entrega-la-justicia-a-pedro-sanchez-15104/</t>
  </si>
  <si>
    <t>Madrid, Madrid</t>
  </si>
  <si>
    <t>española desencantada y muy preocupada</t>
  </si>
  <si>
    <t>ilergeta republicà🎗 #ViscaLaRepública!</t>
  </si>
  <si>
    <t>“Nosotros no colonizábamos, lo que hacíamos era tener una España más grande”. Pablo Casado. Esto es lo que pasa cuando eres un pedazo de mierda que no sirve ni para abono de plantas. #PabloCasadoPorquéNoTeCallas</t>
  </si>
  <si>
    <t>pic.twitter.com/m3vyKOgqGt</t>
  </si>
  <si>
    <t>Sant Esteve de les Roures (SEdlR), República Independent de Catalunya</t>
  </si>
  <si>
    <t>Català antifeixista i antiespanyol‼️⭐️‼️ El meu odi al franquisme és infinit! ☠️ #SomRepública #LlibertatPresosPolítics</t>
  </si>
  <si>
    <t>https://ca.wikipedia.org/wiki/Sant_Esteve_de_les_Roures</t>
  </si>
  <si>
    <t>https://www.20minutos.es/noticia/3494665/0/pablo-casado-reivindica-gibraltar-espanol-culpa-sanchez-traicion/?utm_source=twitter.com&amp;utm_medium=socialshare&amp;utm_campaign=desktop</t>
  </si>
  <si>
    <t>Casado: “Nosotros no colonizábamos, lo que hacíamos era tener una España más grande” -  #GoogleAlerts</t>
  </si>
  <si>
    <t>http://goo.gl/alerts/sUsJd</t>
  </si>
  <si>
    <t>http://atres.red/wkitb2</t>
  </si>
  <si>
    <t>NNGG Los Barrios</t>
  </si>
  <si>
    <t>📣🔰 Hoy hemos tenido a Juanma Moreno y Pablo Casado en Algeciras donde hemos mostrado todo nuestro apoyo y respaldo de cara a las elecciones andaluzas #2D . #EnPositivo #GarantíaDeCambio #VotaGarantíaDeCambio #SOSteniendoLB #NNGGLB #ElFuturoEsHoy</t>
  </si>
  <si>
    <t>https://pbs.twimg.com/media/DsS8ZpAWoAAFo26.jpg</t>
  </si>
  <si>
    <t>Los Barrios (Cádiz)</t>
  </si>
  <si>
    <t>Nuevas Generaciones Los Barrios Bienvenidos a nuestro espacio en Twitter, porque contigo #LosBarriosCrece</t>
  </si>
  <si>
    <t>http://www.populareslosbarrios.es/index.php</t>
  </si>
  <si>
    <t>PP Los Barrios</t>
  </si>
  <si>
    <t>📣🔵 Hoy hemos tenido a Juanma Moreno y Pablo Casado en Algeciras donde hemos mostrado todo nuestro apoyo y respaldo a la candidatura de nuestro Presidente Autonómico para las elecciones andaluzas #2D . #EnPositivo #GarantíaDeCambio #VotaGarantíaDeCambio #SOSteniendoLB</t>
  </si>
  <si>
    <t>https://pbs.twimg.com/media/DsS70GVWsAU6S0B.jpg</t>
  </si>
  <si>
    <t>Los Barrios - Cádiz</t>
  </si>
  <si>
    <t>Partido Popular de la Villa de Los Barrios (Cádiz). Trabajamos para todos y por un futuro mejor. Gracias por seguirnos. #SOSteniendoaLB</t>
  </si>
  <si>
    <t>Casado: "Los españoles no colonizábamos, lo que hacíamos era tener una España más grande" . Que le pregunte a los que estaban allí</t>
  </si>
  <si>
    <t>José Pueyo Guillén</t>
  </si>
  <si>
    <t>Casado: “Nosotros no colonizábamos, lo que hacíamos era tener una España más grande”</t>
  </si>
  <si>
    <t>https://www.lavanguardia.com/politica/20181117/452992780484/pablo-casado-espana-no-colonizaba-tener-espana-mas-grande.html?utm_source=facebook&amp;utm_medium=social&amp;utm_content=politica&amp;utm_campaign=lv</t>
  </si>
  <si>
    <t>Beatriz Bonmatí</t>
  </si>
  <si>
    <t>A Pablo Casado también le debieron convalidar Historia también</t>
  </si>
  <si>
    <t>Madrid - Spain</t>
  </si>
  <si>
    <t>Madrileña,me encanta viajar para conocer a la gente ,tal vez por eso he terminado en el mundo del turismo.Interesada en todo lo relacionado con SMART CITY 3.0</t>
  </si>
  <si>
    <t>Listas otros</t>
  </si>
  <si>
    <t>http://ver.20m.es/5hdpe2</t>
  </si>
  <si>
    <t>https://pbs.twimg.com/media/DsS57p4XcAAvpzV.jpg</t>
  </si>
  <si>
    <t>http://listas.20minutos.es/otros/</t>
  </si>
  <si>
    <t>Rolo Tomassi</t>
  </si>
  <si>
    <t>Ya está Pablo Casado con las batallitas del abuelo RT @eldiarioes: Pablo Casado revisa la Historia de América en la campaña andaluza: "Nosotros no colonizábamos, hacíamos una España más grande"  Lo cuenta @inigoaduriz</t>
  </si>
  <si>
    <t>Badalona, Tabarnia, Spain</t>
  </si>
  <si>
    <t>Detección de neolibs, LETs, nacionalistas y otros tipos de reaccionarios. En fútbol, madridista a contracorriente. No siempre hago FollowBack</t>
  </si>
  <si>
    <t>Joanmi</t>
  </si>
  <si>
    <t>Doy mi voto de confianza a Pablo Casado con el caso Master. Conozco a varios gilipollas con título. De lo que no dudo nada, es de que le faltan varios hervores.</t>
  </si>
  <si>
    <t>Menos es mas. Me gusta escribir pero no tuits. Non plus turra.</t>
  </si>
  <si>
    <t>lxs telefonos</t>
  </si>
  <si>
    <t>pablo casado intentando pensar en las provincias que tiene andalucia: cadiz ........ ....... ... .. . .. . . . . . ........ ........... ........ .... .. ....... ... . . ....... . .... ........ ....... .. . . . . . andalucia</t>
  </si>
  <si>
    <t>20minutos.es</t>
  </si>
  <si>
    <t>http://ver.20m.es/5hdpe1</t>
  </si>
  <si>
    <t>Cuenta oficial de 20minutos, el medio social y ciudadano. Información, análisis y contacto personal con los lectores las 24 horas del día http://facebook.com/20minutos.es</t>
  </si>
  <si>
    <t>https://www.20minutos.es/</t>
  </si>
  <si>
    <t>Víctor Nebreda</t>
  </si>
  <si>
    <t>Y aquí un claro ejemplo de no tener ni puta idea de historia</t>
  </si>
  <si>
    <t>Coslada</t>
  </si>
  <si>
    <t>Graduado en Historia UCM. Máster en Historia Contemporánea UCM. Colaborador en la Revista @Hastapenak Historiador, friki novato. Historia, libros, videojuegos.</t>
  </si>
  <si>
    <t>Que ignorante: Casado: "Los españoles no colonizábamos, lo que hacíamos era tener una España más grande"</t>
  </si>
  <si>
    <t>¿Inmadurez? ¿Estulticia? ¿Incultura? Para alguien a quien fué regalado un máster, las constantes manifestaciones de Pablo Casado haciendo referencias a la pasada historia de España y su modelo de "expansión", por no...</t>
  </si>
  <si>
    <t>Jordi Carbonell</t>
  </si>
  <si>
    <t>Casado pide de nuevo el 155 para Catalunya desde Andalucía e ilegalizar partidos como la CUP @lavanguardia  Yo pido ilegalizar franquistoides como tú,títere de Aznar. Heredero universal de la estupidez humana,rancia y trasnochada ultraderecha juntoVox/C’s</t>
  </si>
  <si>
    <t>https://www.lavanguardia.com/politica/20181118/453010973750/pablo-casado-nuevo-155-catalunya-andalucia-ilegalizar-cup.html?utm_campaign=botones_sociales&amp;utm_source=twitter&amp;utm_medium=social</t>
  </si>
  <si>
    <t>Sempre serà 1 d’Octubre</t>
  </si>
  <si>
    <t>Casado se compromete en Jerez #Cádiz a "ayudar" a que el proyecto '2020 Año Internacional del Flamenco' "llegue a buen término"</t>
  </si>
  <si>
    <t>https://www.europapress.es/andalucia/cadiz-00351/noticia-pablo-casado-compromete-ayudar-proyecto-2020-ano-internacional-flamenco-llegue-buen-termino-20181118161650.html</t>
  </si>
  <si>
    <t>Casado defiende la cosoberanía de Gibraltar: 'No queremos verja'  vía @</t>
  </si>
  <si>
    <t>https://goo.gl/moCs5P</t>
  </si>
  <si>
    <t>Casado reitera desde Algeciras que Pedro Sánchez ya no tiene legitimidad para gobernar</t>
  </si>
  <si>
    <t>http://atres.red/ze6pl2</t>
  </si>
  <si>
    <t>Antonio Sanz Cabello</t>
  </si>
  <si>
    <t>Cádiz, Spain</t>
  </si>
  <si>
    <t>Senador del Reino de España. Portavoz Comisión de Interior Grupo Popular del Senado. Presidente Provincial del Partido Popular de Cádiz</t>
  </si>
  <si>
    <t>http://www.laventanadelsur.es</t>
  </si>
  <si>
    <t>Jose Perez Molina</t>
  </si>
  <si>
    <t>Enorme Pablo Casado en Algeciras donde ha dejado muy clarita la actuación de Sanchez y de Susana con los migrantes, poniendo a las mafias al borde del precipicio, indicando que las eliminaría haciendo una política migratoria controlada con los países de origen. RT @pablocasado_: Apostamos por la cooperación con los países de origen para que las mafias dejen de explotar a los inmigrantes, vinculando las ayudas a la Educación, la formación profesional, empleo e institucionalización. Así se podrá garantizar que las ayudas lleguen a quienes lo necesitan.</t>
  </si>
  <si>
    <t>https://twitter.com/pablocasado_/status/1064153770643329024</t>
  </si>
  <si>
    <t>pic.twitter.com/hazhfQacg8</t>
  </si>
  <si>
    <t>Ser yo en todos los momentos de la vida. Defiendo siempre en lo que creo, justicia e igualdad.Creo en los derechos de las personas</t>
  </si>
  <si>
    <t>Rafael Muñoz Criado</t>
  </si>
  <si>
    <t>El juez-senador del PP compró una finca de 3.941 metros cuadrados por 676 euros. El elegido de Pablo Casado para el Gobierno de los jueces se quedó con 3 bienes del Estado a un precio de ganga en una subasta.</t>
  </si>
  <si>
    <t>Armilla - Granada, España</t>
  </si>
  <si>
    <t>Concejal de Economía y Hacienda del Ayuntamiento de Armilla y 2º Teniente de Alcalde. Socialismo sin ambigüedad. Enamorado de mi ciudad y su gente.</t>
  </si>
  <si>
    <t>Piña 🍍💚</t>
  </si>
  <si>
    <t>Pablo Casado en Jerez. Ya decía yo que hacía un día de mierda aquí...</t>
  </si>
  <si>
    <t xml:space="preserve">Here </t>
  </si>
  <si>
    <t>Paula, una friki de eza. Filósofa Inglesa. あなたの笑顔を見せ、泣いてはいけない。</t>
  </si>
  <si>
    <t>http://ihatetogrowupwithmuggles.tumblr.com</t>
  </si>
  <si>
    <t>ChVso</t>
  </si>
  <si>
    <t>Lo de votar a Vox escenifica el fracaso de Pablo Casado Su giro hacia un PP más rancio le va a traer su fin Si algo hacia bien el PP es poner el pie en el centro y la mano en la derecha Al final vamos a tener que agradecer a Vox que exista xD</t>
  </si>
  <si>
    <t>jordi salvador duch</t>
  </si>
  <si>
    <t>Entre Rivera y Casado, esta quedando un reino de miedo :): "Los españoles no colonizábamos, lo que hacíamos era tener una España más grande"</t>
  </si>
  <si>
    <t>Diputat al congreso per ERC. D'esquerres, per la República Catalana, internacionalista i sindicalista. Professor i Dr. en Antropologia Social i Cultural</t>
  </si>
  <si>
    <t>https://www.youtube.com/user/jordisd9</t>
  </si>
  <si>
    <t>Por primera vez estoy de acuerdo con Pablo Casado. Por cierto votarle a él tambien es tirar el voto a la basura… Votar a Vox RT @libertaddigital: El PP: "Votar a VOX es tirar el voto a la basura"</t>
  </si>
  <si>
    <t>https://twitter.com/libertaddigital/status/1064139176310796288?s=19
http://dlvr.it/QrWnQN</t>
  </si>
  <si>
    <t>Pablo Casado también es licenciado en historia por la Universidad Rey Juan Carlos. RT @eldiarioes: Pablo Casado revisa la Historia de América en la campaña andaluza: "Nosotros no colonizábamos, hacíamos una España más grande"  Lo cuenta @inigoaduriz</t>
  </si>
  <si>
    <t>Creo que la estrategia es ir a las ruedas de prensa, mítines,... de Pablo Casado y aplaudir cada cosa que diga como si no hubiese un mañana. Esta es la clave, amigos.</t>
  </si>
  <si>
    <t>El juez-senador del PP compró una finca de 3.941 metros cuadrados por 676 euros El elegido de Pablo Casado para el Gobierno de los jueces se quedó con 3 bienes del Estado a un precio ridículo en una subasta sospechosa.. SON BASURA TODOS GOBIERNOS Y JUECES ESPABILAR ESPAÑOLES ..</t>
  </si>
  <si>
    <t>Harpo</t>
  </si>
  <si>
    <t>Pablo Casado ets un fill de puta</t>
  </si>
  <si>
    <t>Ángela</t>
  </si>
  <si>
    <t>Al menos Pablo Casado sale bien en las fotos, algo bueno tenía que tener.</t>
  </si>
  <si>
    <t>little.</t>
  </si>
  <si>
    <t>Gustavo Alares</t>
  </si>
  <si>
    <t>La Hispanidad, las bondades de "hacer grande a España", lo de los Reyes Católicos... y ahora Gibraltar. .. parece que Pablo Casado se hubiera leído Políticas del pasado en la España franquista...;)</t>
  </si>
  <si>
    <t>https://www.marcialpons.es/libros/politicas-del-pasado-en-la-espana-franquista-1939-1964/9788415963998/</t>
  </si>
  <si>
    <t>https://pbs.twimg.com/media/DsSz11mXgAABrOx.jpg</t>
  </si>
  <si>
    <t>Historian, PhD @Europeanuni Politics of History, History of Historiography, Fascism y otras cosas. Investigando en @unizar y @proyectoRHEC #twitterstorian</t>
  </si>
  <si>
    <t>http://eui.academia.edu/GustavoAlares</t>
  </si>
  <si>
    <t>John M. Coyote #Tovarich</t>
  </si>
  <si>
    <t>Somewhere Over The Rainbow</t>
  </si>
  <si>
    <t>European. I block Libertarians &amp; Neoliberals. RT not necessarily endorsement. Likes ❤️ may be just a bookmark &amp; not what you think it is.</t>
  </si>
  <si>
    <t>Jesús Quílez Bielsa</t>
  </si>
  <si>
    <t>Este personaje sabe que, aparte de ser imposible, supondría la pérdida de miles de puestos se trabajo? ¿Quién es el populista bananero?</t>
  </si>
  <si>
    <t>http://atres.red/wkitb1</t>
  </si>
  <si>
    <t>nec spe nec metu</t>
  </si>
  <si>
    <t>Airus Celis</t>
  </si>
  <si>
    <t>http://dlvr.it/QrX4xR</t>
  </si>
  <si>
    <t>https://pbs.twimg.com/media/DsSysb_VAAAwS5W.jpg</t>
  </si>
  <si>
    <t>Jhoán Manuel Oropeza</t>
  </si>
  <si>
    <t>elnortedecastilla.es</t>
  </si>
  <si>
    <t>Un buen resultado del PP en Andalucía consolidaría a Pablo Casado, uno malo haría tambalear su liderazgo</t>
  </si>
  <si>
    <t>http://ow.ly/H5u930mETVW</t>
  </si>
  <si>
    <t>"Yo soy quien soy y no me parezco a nadie" IG: Jhoanmanuel23</t>
  </si>
  <si>
    <t>Cuenta oficial del periódico El Norte de Castilla, líder en Castilla y León y Valladolid. Somos el decano de la prensa diaria española. Contigo desde 1854.</t>
  </si>
  <si>
    <t>http://www.elnortedecastilla.es/</t>
  </si>
  <si>
    <t>Pablo Casado: "Los españoles no colonizábamos, lo que hacíamos era tener una España más grande"</t>
  </si>
  <si>
    <t>Jerónimo Castellet</t>
  </si>
  <si>
    <t>Resumen del miting de Pablo Casado para las andaluzas: "Gibraltar español" No hay más preguntas señoría</t>
  </si>
  <si>
    <t>Pilas</t>
  </si>
  <si>
    <t>Ingeniero de Computadores, carnavalero, bético, cofrade, BA-LON-CES-TO y ahora intento de ciclista</t>
  </si>
  <si>
    <t>lola alonso</t>
  </si>
  <si>
    <t>Son conscientes de sus gilipolleces?</t>
  </si>
  <si>
    <t>...Y en la calle, codo a codo, somos mucho más que dos...Y el cine y los libros y la creatividad y...la ciencia.</t>
  </si>
  <si>
    <t>L'AraVot 🇦🇲🎗️</t>
  </si>
  <si>
    <t>9 Barris-Dosrius, Catalunya</t>
  </si>
  <si>
    <t>Blog sobre actualitat política , d'aquí i d'allà. Som na @SedaPaprika i en @Solanoyan. Ens trobareu setmanalment a @VilaWeb / un cop al mes a la @revista_mirall</t>
  </si>
  <si>
    <t>https://laravot.wordpress.com/</t>
  </si>
  <si>
    <t>Repúblic@es</t>
  </si>
  <si>
    <t>Top story: Pablo Casado contra la Historia | Guerra Eterna , see more</t>
  </si>
  <si>
    <t>http://www.guerraeterna.com/pablo-casado-contra-la-historia/
http://tweetedtimes.com/esjuanol?s=tnp</t>
  </si>
  <si>
    <t>Sí luchas puedes perder... ¡Si NO luchas estas perdido!</t>
  </si>
  <si>
    <t>https://15m20.org</t>
  </si>
  <si>
    <t>Javi Carrero</t>
  </si>
  <si>
    <t>Lo de Pablo Casado diciendo “Gibraltar español” en un mitin en Andalucía tiene que ser una apuesta que ha perdido, o algo así por las risas.</t>
  </si>
  <si>
    <t>McLaren's | Pinto</t>
  </si>
  <si>
    <t>Derecho y Ciencias Políticas en UC3M. Intento ayudar investigando sobre discriminación y desigualdad en el Discrimination and Inequality Lab (UC3M).</t>
  </si>
  <si>
    <t>lutxandoconlavida</t>
  </si>
  <si>
    <t>Pablo Casado pide un Gibraltar español y yo pido ke Ceuta y Melilla sean Marroquis</t>
  </si>
  <si>
    <t>Algún día el yunque, cansado de ser yunque, pasará a ser martillo.</t>
  </si>
  <si>
    <t>Toda la Politica</t>
  </si>
  <si>
    <t>https://goo.gl/JkTu1m</t>
  </si>
  <si>
    <t>Noticias sobre política, partidos políticas y artículos de opinión.</t>
  </si>
  <si>
    <t>Dunlag</t>
  </si>
  <si>
    <t>Yo solo quiero a alguien a cuyo lado pueda odiar al resto del mundo</t>
  </si>
  <si>
    <t>https://www.instagram.com/dunlag/</t>
  </si>
  <si>
    <t>Pablo Casado pide acabar con el "régimen chantajista y clientelar" de Susana Díaz en Andalucía  vía @elespanolcom</t>
  </si>
  <si>
    <t>https://www.elespanol.com/espana/politica/20181118/pablo-casado-chantajista-clientelar-susana-diaz-andalucia/354214915_0.html</t>
  </si>
  <si>
    <t>Maribel Real</t>
  </si>
  <si>
    <t>Gibraltar español': el mantra de Pablo Casado en la campaña para las elecciones de Andalucía 2018</t>
  </si>
  <si>
    <t>Benetússer, España</t>
  </si>
  <si>
    <t>Dejar de mirar para empezar a ver</t>
  </si>
  <si>
    <t>Pablo Casado reivindica el “Gibraltar español”, algo que los republicanos españoles llevan haciendo desde hace décadas, no es una cuestión de demagogia barata sino de sentido de Estado.</t>
  </si>
  <si>
    <t>https://pbs.twimg.com/media/DsSsInvXgAAyHTZ.jpg</t>
  </si>
  <si>
    <t>Adrián Hernández</t>
  </si>
  <si>
    <t>"Gibraltar Español". Es un hecho, Pablo Casado es el líder del PP más payaso y pirómano de la historia del partido. Y eso es decir mucho.</t>
  </si>
  <si>
    <t>https://m.eldiario.es/politica/Casado-Algeciras-Gibraltar-Gobierno-inmigracion_0_837116490.html</t>
  </si>
  <si>
    <t>Tengo twitter para discutir temas complejos de manera sosegada.</t>
  </si>
  <si>
    <t>Las andaluzas como antesala de las generales. Pablo Casado pide movilizarse como primer paso para “sacar a Pedro Sánchez de La Moncloa”  Por @miriamfmata</t>
  </si>
  <si>
    <t>https://www.servimedia.es/noticias/1092919</t>
  </si>
  <si>
    <t>Bolskan</t>
  </si>
  <si>
    <t>Pablo Casado acusa a Pedro Sánchez de "traición" por no exigir "un Gibraltar español"  vía @elmundoes Como que le quita el sueño al okupa plagiador!</t>
  </si>
  <si>
    <t>Cuando se faltan a las clases de historia.</t>
  </si>
  <si>
    <t>Alberto Delantero</t>
  </si>
  <si>
    <t>Si joder. Por fin o novo equipo de Pablo Casado aposta por esto. Arrinconando a Vox. PD: vaia esperpento esta xente. RT @TeoGarciaEgea: España debe mantenerse en una posición firme frente al brexit. Gibraltar Español.</t>
  </si>
  <si>
    <t>Foz-Santiago</t>
  </si>
  <si>
    <t>RCD. #FreeLanda. Dumoulinista. Saganista. Dereito USC. Galicia como Nación.</t>
  </si>
  <si>
    <t>Andrés Núñez de la T</t>
  </si>
  <si>
    <t>Acabo de ver las noticias en antena3. Comienzan con las elecciones andaluzas. Hablan del psoe, sale Pedro Sánchez. Hablan del pp, sale Pablo Casado. Hablan de Ciudadanos, sale Albert Rivera. Y ahí se acabó el tema.</t>
  </si>
  <si>
    <t>francisco pereira</t>
  </si>
  <si>
    <t>Jesús Araujo ♣</t>
  </si>
  <si>
    <t>Imágenes #EleccionesAndaluzas en los telediarios: PSOE: Susana PP: Pablo Casado Ciudadanos: Albert Rivera (y Arrimadas) Adelante Andalucía: Teresa Rodríguez 🤔</t>
  </si>
  <si>
    <t>Boston Garden, Sevilla.</t>
  </si>
  <si>
    <t>Mezclando rock, comics y basket desde finales de los 80. This is my truth tell me yours. #CelticsEspaña #Marvel #StarWars #DeepPurple</t>
  </si>
  <si>
    <t>http://susoworld33.blogspot.com.es</t>
  </si>
  <si>
    <t>Bien dicho señor Pablo Casado póngase en su sitio y no le permita tantas injusticias como está cometiendo éste descerebrado indesente de Gobernante Casadoma la cosoberanía de Gibraltar: "No queremos verja"</t>
  </si>
  <si>
    <t>https://okdiario.com/espana/2018/11/18/casado-reclama-cosoberania-gibraltar-no-queremos-verja-3364229#.W_F0MJpzBak.twitter</t>
  </si>
  <si>
    <t>El presidente del Gobierno reclama a Pablo Casado y Albert Rivera que apoyen el trámite de los Presupuestos porque "un país rico no puede tener trabajadores pobres".</t>
  </si>
  <si>
    <t>https://www.antena3.com/noticias/espana/pedro-sanchez-avisa-ciudadanos-subira-salario-minimo-video_201811185bf16a980cf2265d3004da36.html</t>
  </si>
  <si>
    <t>El líder del Partido Popular advierte de que no piensan admitir el "engaño" de los "soberbios", en referencia a Susana Díaz, y dice que no piensa consentir que los socialistas sigan "manchando el nombre" de Andalucía.</t>
  </si>
  <si>
    <t>https://www.antena3.com/noticias/espana/pablo-casado-llama-acabar-regimen-susana-diaz-video_201811185bf15acc0cf2c5d6155e5b5e.html</t>
  </si>
  <si>
    <t>αγαπη</t>
  </si>
  <si>
    <t>El señor Pablo Casado exigiendo un "Gibraltar español", no me extraña que la ultra derecha esté creciendo en el país.</t>
  </si>
  <si>
    <t>Historiadora 🔍 Tempus fugit 🌠 Acuario ♒</t>
  </si>
  <si>
    <t>http://instagram.com/vanesapm9</t>
  </si>
  <si>
    <t>Luis Martínez Garate</t>
  </si>
  <si>
    <t>"Nosotros no colonizábamos". Este fulano se siente solidario y orgulloso de unos hechos de sus antepasados de varios siglos que son, además, vergüenza para la humanidad. O, directamente, genocidio.</t>
  </si>
  <si>
    <t>https://www.lavanguardia.com/politica/20181117/452992780484/pablo-casado-espana-no-colonizaba-tener-espana-mas-grande.html?utm_source=newsletters&amp;utm_medium=email&amp;utm_campaign=politica&amp;utm_term=20181118&amp;utm_content=listado-de-noticias-de-la-seccion-de-politica</t>
  </si>
  <si>
    <t>Iruñea-Pamplona 1949. Ingeniero Superior de Telecomunicación. Fundador y miembro de Iturralde y Nabarralde</t>
  </si>
  <si>
    <t>http://nabarra.blogspot.com</t>
  </si>
  <si>
    <t>Víctor Abásolo</t>
  </si>
  <si>
    <t>Resumen del programa de Casado en Andalucía, Catalunya con el 155 y la CUP ilegalizada... mola. Los andaluces estarán contentos, porque eso es lo que le falta a Andalucía... ser Catalunya. Este tío en serio, quiere gobernar un país... y no da ni para...</t>
  </si>
  <si>
    <t>Sabadell (Barcelona)</t>
  </si>
  <si>
    <t>Periodista, Dj, freelance de la comunicación, estoy aquí para aprender y opinar. Me encanta bloquear trolls⚡️.</t>
  </si>
  <si>
    <t>http://about.me/victorabasolo</t>
  </si>
  <si>
    <t>Quer</t>
  </si>
  <si>
    <t>Pablo Casado gritando en plena campaña "Gibraltar Español" enserio. Pero claro los españoles no hemos cometido ningún genocidio, solo hacíamos una España más grande... cuando ni españa existia. POR CASTILLA! #joke</t>
  </si>
  <si>
    <t>Illéa</t>
  </si>
  <si>
    <t>Estudiant de Ciències Polítiques i de l'Administració @univgirona | Comunicació @debatudg</t>
  </si>
  <si>
    <t>Gabi Cazorla catala</t>
  </si>
  <si>
    <t>Según Pablo casado.conquistaremos Gibraltar. Gibraltar Españollllllllllllllll</t>
  </si>
  <si>
    <t>Pedro I. Altamirano</t>
  </si>
  <si>
    <t>pic.twitter.com/qYu9Ijsyhk</t>
  </si>
  <si>
    <t>Pablo Casado @pablocasado_ hablando de “Andalucía” en las andaluzas España y más España que falta de respeto</t>
  </si>
  <si>
    <t>terrassa.ciutat vella de Egara</t>
  </si>
  <si>
    <t>pic.twitter.com/dBE3DblsJA</t>
  </si>
  <si>
    <t>independiente de izquierdas y solidario.comprometido con los que sufren la explotación!!!! participó en miércoles Republicano1</t>
  </si>
  <si>
    <t>República Andaluza</t>
  </si>
  <si>
    <t>Andalucía =*= #VíaAndaluza @aZamblea @andalucesAND @AndaluciaMarcha</t>
  </si>
  <si>
    <t>https://www.azamblea.org</t>
  </si>
  <si>
    <t>Antonio García</t>
  </si>
  <si>
    <t>Algunos políticos actuales saben menos de todo, como por ejemplo de Historia de España. Y, por tanto, mienten.</t>
  </si>
  <si>
    <t>Gilena (Sevilla)</t>
  </si>
  <si>
    <t>@ICEditorial, @i_y_c, @ExLibric... @telegilena, @ArtesaniaPosada... Mis hijos son Spiderman y Hulk; mi mujer es WonderWoman; yo... yo no soy un superhéroe.</t>
  </si>
  <si>
    <t>https://www.facebook.com/pages/Artesan%C3%ADa-La-Posada/117671151644345</t>
  </si>
  <si>
    <t>MCMD🐙</t>
  </si>
  <si>
    <t>Uy! El niñato de Pablo Casado nombrando a Dos Hermanas 🤔</t>
  </si>
  <si>
    <t>No se retrocede, te quedas donde estás y peleas... Yonki y Gitana #2305 y Pedagoga.</t>
  </si>
  <si>
    <t>Quique GM RCDE</t>
  </si>
  <si>
    <t>Cada declaración de Pablo Casado supera a la anterior. Ahora va con algo muy de Colmenero, Gibraltar español 😂😂😂😂🍻🍻🍻🍻, vaya pavo.</t>
  </si>
  <si>
    <t>Perico de corazón. Estudiante de Biotecnología en la UPV 28.08.1998 Instagram: @QuiqueGonzlez5</t>
  </si>
  <si>
    <t>http://instagram.com/quiquegonzlez5</t>
  </si>
  <si>
    <t>Miike</t>
  </si>
  <si>
    <t>Pablo Casado ha ido a Andalucia pa decir que Gibraltar es español xddddddd</t>
  </si>
  <si>
    <t>•19• Xbox GT: Miike LR &amp; Coco LR</t>
  </si>
  <si>
    <t>https://www.youtube.com/user/MikiCes</t>
  </si>
  <si>
    <t>Javi UB</t>
  </si>
  <si>
    <t>"Hay que tratar el problema de la inmigracion en origen" Pablo Casado Me lo imagino pensando en invertir dinero en Africa pa construir cementerios en los que enterrar a la poblacion... viendo su mentalidad xd</t>
  </si>
  <si>
    <t>Granada, España.</t>
  </si>
  <si>
    <t>Los sueños no se cumplen, tú los cumples. Derecho UGR</t>
  </si>
  <si>
    <t>Newsss15</t>
  </si>
  <si>
    <t>Pablo Casado acusa a Pedro Sánchez de "traición" por no exigir "un Gibraltar español"  via @elmundoes</t>
  </si>
  <si>
    <t>Madrid Manchester Dublin Sevilla</t>
  </si>
  <si>
    <t>Noticias News</t>
  </si>
  <si>
    <t>marianela orellana godínez</t>
  </si>
  <si>
    <t>Chile.</t>
  </si>
  <si>
    <t>Si por ilusa me caí por cabrona me levanto . Maestria en Historia . Graduada en la URSS . Agradecida de corazón del pueblo soviético .</t>
  </si>
  <si>
    <t>Cobra Conciencia</t>
  </si>
  <si>
    <t>Pablo Casado contra la Historia.  por @guerraeterna</t>
  </si>
  <si>
    <t>https://is.gd/rvkIeV</t>
  </si>
  <si>
    <t>El gran reto de la izquierda consiste en despertar conciencias, quitar la pereza mental de la masa adormecida, armarse de paciencia y argumentos cada día.</t>
  </si>
  <si>
    <t>http://www.facebook.com/CobraConciencia</t>
  </si>
  <si>
    <t>El líder del PP reclama que Andalucía abra el camino para echar a Sánchez de la Moncloa</t>
  </si>
  <si>
    <t>https://www.lavanguardia.com/politica/20181118/453010973750/pablo-casado-nuevo-155-catalunya-andalucia-ilegalizar-cup.html?utm_source=twitter_lv&amp;utm_medium=social</t>
  </si>
  <si>
    <t>Caesar Caesaris</t>
  </si>
  <si>
    <t>Magnífico artículo.  Vía @Guerraeterna #España #Colonial</t>
  </si>
  <si>
    <t>Alcoià. El meu poble té costeres i ponts. Música de telers ja no tant. //// Alcoyano. Mi pueblo tiene puentes y cuestas. Música de telares ya no tanto.</t>
  </si>
  <si>
    <t>🎃spooky leyre🎃</t>
  </si>
  <si>
    <t>pablo casado puta rata ignorante nunca te metas en el mihrab de una mezquita</t>
  </si>
  <si>
    <t>aquí no</t>
  </si>
  <si>
    <t>in this world it’s either yeet or be yeeted</t>
  </si>
  <si>
    <t>https://www.instagram.com/elyreplsss/</t>
  </si>
  <si>
    <t>FSiM</t>
  </si>
  <si>
    <t>vicent marín badenes</t>
  </si>
  <si>
    <t>Esto pasa por no ir a clase. Casado: "Los españoles no colonizábamos, lo que hacíamos era tener una España más grande"</t>
  </si>
  <si>
    <t>Colònia de Sant Pere. Mallorca</t>
  </si>
  <si>
    <t>pare alumne knowmad professor maulet republicà 🎗 #PassOnPlastic ♻️</t>
  </si>
  <si>
    <t>Maria-Chus-Chaxiraxi</t>
  </si>
  <si>
    <t>Pablo Casado se habrá dado cuenta que los de Gibraltar igual no quieren ser españoles?🙄</t>
  </si>
  <si>
    <t>Galicia - España</t>
  </si>
  <si>
    <t>Gloria Analco A</t>
  </si>
  <si>
    <t>QUE MANERA DE QUERER OCULTAR LA VERDAD!!!!</t>
  </si>
  <si>
    <t>Pablo Casado no aprueba Másters, hace más grande la cifra contenida en alguna cuenta de banco. RT @Xuxipc: Pablo Casado no se levanta tarde los domingos, hace los sábados más grandes.</t>
  </si>
  <si>
    <t>https://twitter.com/Xuxipc/status/1064085524279959552</t>
  </si>
  <si>
    <t>Devil's trap</t>
  </si>
  <si>
    <t>Pablo Casado es la prueba de que vivimos en una sitcom.</t>
  </si>
  <si>
    <t>Bioquímica en la UMA // Smile, my boy. It's sunrise. // Woman of letters. I think I deserve some pie.// LD</t>
  </si>
  <si>
    <t>Warcraft</t>
  </si>
  <si>
    <t>¿Y eso era lo que quería el resto o solo los que tenían más armas y fuerza bruta?? Casado: "Los españoles no colonizábamos, lo que hacíamos era tener una España más grande"</t>
  </si>
  <si>
    <t>Catalonia 🎗 ✨🐍 🗝</t>
  </si>
  <si>
    <t>Aquel que vive en Alain ve cosas q otros no ven. Sobre ÉL, todo mentiras y medias verdades. De los OTROS, todo verdad 7/10/17 a.m 7h The Seventh Seal was opened</t>
  </si>
  <si>
    <t>Carmen Fernandez</t>
  </si>
  <si>
    <t>Arrecife, España</t>
  </si>
  <si>
    <t>“La jerarquía es como los estantes, cuanto más altos menos sirven”. Madrileña</t>
  </si>
  <si>
    <t>Noticias 24 horas</t>
  </si>
  <si>
    <t>Pablo Casado propone (o respalda?) "hacer una zona de régimen fiscal especial tanto a este lado del Estrecho como en Ceuta", para convertir al Campo de #Gibraltar en un polo industrial. Es decir, hacer una suerte de gran zona franca. PIEZA RELACIONADA</t>
  </si>
  <si>
    <t>http://www.noticias24horas.com/mas-gibraltar-espanol-eficaz-y-legal-ante-un-saturado-gibraltar-ingles/</t>
  </si>
  <si>
    <t>Oxford</t>
  </si>
  <si>
    <t>No cuentes las Noticias, haz que las Noticias cuenten.</t>
  </si>
  <si>
    <t>http://www.Noticias24horas.com</t>
  </si>
  <si>
    <t>Salvador Nos</t>
  </si>
  <si>
    <t>Renascut el 2016</t>
  </si>
  <si>
    <t>Si vis pacem... 🎗</t>
  </si>
  <si>
    <t>Valencia, Comunidad Valenciana</t>
  </si>
  <si>
    <t>https://ift.tt/2FsfQ4v</t>
  </si>
  <si>
    <t>Rafael Pérez</t>
  </si>
  <si>
    <t>Pablo Casado contra la Historia RT @VincentVega45:</t>
  </si>
  <si>
    <t>https://twitter.com/VincentVega45/status/1064146433048276994
http://www.guerraeterna.com/pablo-casado-contra-la-historia/</t>
  </si>
  <si>
    <t>Al azar diletante hedonista cínico patafísico contradictorio... Au hasard dilettante hédoniste cynique pataphysicien contradictoire...</t>
  </si>
  <si>
    <t>http://www.unoscuantostextos.org/</t>
  </si>
  <si>
    <t>Danié</t>
  </si>
  <si>
    <t>Ni Pablo Casado ni Hitler eran malas personas, sólo querían una España y Alemania más grande</t>
  </si>
  <si>
    <t>i’m smart but i do dumb shit anyway. Marketing y Producción de vídeojuegos en @PlayStation y Gestión de eSports en @UniversidadVIU Staff AOV en @DeadRabbitsClub</t>
  </si>
  <si>
    <t>https://www.linkedin.com/in/dani-sanchez-martinez/</t>
  </si>
  <si>
    <t>Raúl Feynman</t>
  </si>
  <si>
    <t>Que a Cifuentes, Pablo Casado o Carmen Montón les regalen títulos universitarios es muy motivante. RT @tonisolano: Los alumnos no asocian el éxito al trabajo duro  vía @elmundoes Pues no lo entiendo, si los modelos que ofrece la política, la televisión y las redes sociales dejan claro que el estudio es fuente de éxito... (modo irónico)</t>
  </si>
  <si>
    <t>https://twitter.com/tonisolano/status/1064094773265481728
https://www.elmundo.es/espana/2018/11/18/5bf08187468aeb19208b45d1.html</t>
  </si>
  <si>
    <t>Odalbat</t>
  </si>
  <si>
    <t>Por vender lo que no es suyo, por un sillón en Europa Pablo Casado acusa a Pedro Sánchez de "traición" por no exigir "un Gibraltar español"  vía @elmundoes</t>
  </si>
  <si>
    <t>Liberar la libertad, mi libertad no es el poder de los malos, mis obligaciones son los derechos de otros, menos derechos y mas obligaciones</t>
  </si>
  <si>
    <t>Oskar Matute</t>
  </si>
  <si>
    <t>😱😱😱 Claro que si Herodóto! Y Hitler pensaba igual con Polonia, Francia y todo lo demás... De aquí a proclamar “la unidad de destino en lo universal” en 3,2,1....</t>
  </si>
  <si>
    <t>Diputado de @ehbilducongreso.</t>
  </si>
  <si>
    <t>http://www.alternatiba.eus</t>
  </si>
  <si>
    <t>Pateando España</t>
  </si>
  <si>
    <t>Pablo Casado el rey del Master falso Con la ayuda de jueces y fiscales comprados por el PP</t>
  </si>
  <si>
    <t>https://pbs.twimg.com/media/DsSehgVXgAAjF5j.jpg</t>
  </si>
  <si>
    <t>Guía divulgativa de imágenes y vídeo de España, reflejando su arquitectura, paisaje, cultura, musicales, naturaleza, sus gentes, y Memes de Corruptos,</t>
  </si>
  <si>
    <t>http://pateandoespaña.es/</t>
  </si>
  <si>
    <t>Carlos F. Rubio</t>
  </si>
  <si>
    <t>LEON (ESPAÑA)</t>
  </si>
  <si>
    <t>Diplomado en Ciencias Empresariales (Oviedo) Diplomado en Comercio Exterior (ESIC-Madrid)</t>
  </si>
  <si>
    <t>http://vimeo.com/27856212</t>
  </si>
  <si>
    <t>Simon Gardner 📷</t>
  </si>
  <si>
    <t>It's kicking off in Spain over government failure to leverage Brexit to regain Gibraltar. In [🇪🇸] Pablo Casado acusa a Pedro Sánchez de "traición" por no exigir "un Gibraltar español"  via @elmundoes</t>
  </si>
  <si>
    <t>𝕾𝖊𝖈𝖔𝖓𝖉 𝖌𝖊𝖓𝖊𝖗𝖆𝖙𝖎𝖔𝖓 𝖗𝖊𝖋𝖚𝖌𝖊𝖊. 𝕴𝖓𝖙𝖊𝖗𝖓𝖆𝖑 𝖊𝖝𝖎𝖑𝖊. 𝕴𝖓𝖚𝖎𝖙</t>
  </si>
  <si>
    <t>https://www.zazzle.co.uk/simon_gardner</t>
  </si>
  <si>
    <t>roberto romero bohorquez</t>
  </si>
  <si>
    <t>A PABLO CASADO, Chaval......en el PP, te has equivocado de consonante. Has cambiado la R por la D,en vez de REGENERADO, lo has DEGENERADO. Para muestra Andalucía...…..otro Rajoy???? @hermanntertsch @WharfRat_DE @unchinodechina @MuchosPocos</t>
  </si>
  <si>
    <t>https://pbs.twimg.com/media/DsSeHynWwAAeAs-.jpg</t>
  </si>
  <si>
    <t>Militar(R) Ingeniero, viudo, hijos mayores, nietos pequeños, un perro mediano y muchos libros</t>
  </si>
  <si>
    <t>Después de un efecto inicial muy positivo, estos días se ha venido completamete abajo la imagen de Pablo Casado. La reforma del CGPJ es algo que va a tener muy dificil explicación ante sus votantes, y si encima coincide con un almuerzo con Rajoy, es un golpe brutal a su imagen.</t>
  </si>
  <si>
    <t>Plumbio Anonimate</t>
  </si>
  <si>
    <t>Próximamente en su urna revisión histórica del #PP by Pablo Casado, Moreno Bonilla como estrellado invitado: - Llora como mujer lo que no has sabido defender como hombre - Lo mismo digo pichón</t>
  </si>
  <si>
    <t>https://pbs.twimg.com/media/DsSd0yFWsAANw7g.jpg</t>
  </si>
  <si>
    <t>Garnata-Andalucía</t>
  </si>
  <si>
    <t>Tuiter me crucificó un jueves santo en #Granada y al tercer día no resucite. Hoja de reclamaciones ya!! #Malafollá</t>
  </si>
  <si>
    <t>Decía Oscar Wilde que “un tonto nunca se repone de un éxito”. Ejemplo preclaro de la certeza de dicha frase. Casado: “Nosotros no colonizábamos, lo que hacíamos era tener una España más grande”</t>
  </si>
  <si>
    <t>RTL</t>
  </si>
  <si>
    <t>Polonia</t>
  </si>
  <si>
    <t>No se lo que puede llegar, pero sea lo que sea, iré hacia ello riéndome.</t>
  </si>
  <si>
    <t>Pablo Casado llama a acabar con el "régimen chantajista, corrupto y clientelar" de Susana Díaz</t>
  </si>
  <si>
    <t>http://dlvr.it/QrWsrd</t>
  </si>
  <si>
    <t>https://pbs.twimg.com/media/DsSdGT2U0AELh9M.jpg</t>
  </si>
  <si>
    <t>Triana Digital</t>
  </si>
  <si>
    <t>.@pablocasado_ en Triana: la vela del paso de la @EspDeTriana y un emotivo recuerdo en San Jacinto. @JuanMa_Moreno @BeltranPerezPP @zoidoJI @Virginiaperez11 @PPdeTriana @PPAytoSevilla @PPdeSevilla @PPopular @ppandaluz @TDSevilla #TDSActualidad</t>
  </si>
  <si>
    <t>http://trianadigital.es/pablo-casado-en-triana-la-vela-del-paso-de-la-esperanza-y-un-emotivo-recuerdo-en-san-jacinto/</t>
  </si>
  <si>
    <t>De lo local a lo universal. El medio de comunicación de Triana. redaccion@trianadigital.es</t>
  </si>
  <si>
    <t>http://www.trianadigital.es</t>
  </si>
  <si>
    <t>Roberto Vega Ramirez</t>
  </si>
  <si>
    <t>#FelizDomingo para Pablo casado todo aquel que apruebe los presupuestos generales son enemigos de españa, los enemigos de españa son PP y Cs por no aprobarlos! Mentir y Robar es la sintonía del PP!</t>
  </si>
  <si>
    <t>Feminista,Lgtbi,Ecologista,Animalista,Antitaurino,Ateo y Republicano ❤️💛💜✊</t>
  </si>
  <si>
    <t>https://m.eldiario.es/escolar/mentiras-Pablo-Casado-Gurtel-Irak_6_828777140.html</t>
  </si>
  <si>
    <t>M. Rajoy 🎗</t>
  </si>
  <si>
    <t>Los colonos judíos no colonizan Palestina, sólo hacen Israel más grande.</t>
  </si>
  <si>
    <t>M. Rajoy el auténtico. Ladrón, asesino, mafioso, corruPPto, fascista, mentiroso y cínico a tiempo completo, sobre 📩 si no queréis que os arruine la vida.</t>
  </si>
  <si>
    <t>https://www.facebook.com/rajevi8/</t>
  </si>
  <si>
    <t>Antonio Toro</t>
  </si>
  <si>
    <t>Pablo Casado es tan fascista que yo creo que es de Vox y no lo sabe. En un mismo discurso ha hablado de "Gibraltar español" y del "efecto llamada". Va fortísimo xddd</t>
  </si>
  <si>
    <t>.-@pablocasado_ abrirá el 12 de diciembre el II Congreso Internacional de AFAMMER con una charla sobre libertad e igualdad</t>
  </si>
  <si>
    <t>https://www.europapress.es/castilla-lamancha/noticia-pablo-casado-abrira-12-diciembre-ii-congreso-internacional-afammer-charla-libertad-igualdad-20181118112335.html</t>
  </si>
  <si>
    <t>Back in the 90's I was in a very famous TV show... 🎵 Comunicación Audiovisual UC3M Rivas.</t>
  </si>
  <si>
    <t>Jan Malinowski</t>
  </si>
  <si>
    <t>El líder actual de uno de los partidos de la oposición en España dice: "Los españoles no colonizábamos, lo que hacíamos era tener una España más grande" ¿Qué es peor: la falta de sensibilidad, la falta de modales o carencias en términos de educación? ⤵️</t>
  </si>
  <si>
    <t>Strictly my own views. #ProudEuropean for #democracy &amp; #humanrights. Otherwise @CoE, now @social_charter. Previously: @CoE_CPT @CoE_InfoSociety @PompidouGroup</t>
  </si>
  <si>
    <t>http://www.coe.int/socialcharter</t>
  </si>
  <si>
    <t>Mari Carmen #FreeTabarnia #SanchezDimision</t>
  </si>
  <si>
    <t>👏👏👏👏👏 Pablo Casado y la mayoría de los españoles acusamos a Pedro Sánchez de "traición" también por no exigir "un Gibraltar español"  vía @elmundoes</t>
  </si>
  <si>
    <t>Excepto Dios, nadie es lo suficientemente importante en tu vida para amargártela. ( Pedro Altuna)</t>
  </si>
  <si>
    <t>Radio Rute</t>
  </si>
  <si>
    <t>Pablo Casado muestra en Rute su rostro más dulce</t>
  </si>
  <si>
    <t>https://www.radiorute.com/pablo-casado-muestra-en-rute-su-rostro-mas-dulce/</t>
  </si>
  <si>
    <t>Rute,Córdoba,España</t>
  </si>
  <si>
    <t>Radio Rute emisora municipal</t>
  </si>
  <si>
    <t>http://www.radiorute.com</t>
  </si>
  <si>
    <t>Fulgencio Barrado (cabeza de ratón)</t>
  </si>
  <si>
    <t>Pablo Casado con lo de Gibraltar... ¿Esto no era en agosto?</t>
  </si>
  <si>
    <t>Expongo libremente mi opinión sobre todas las cosas. Los juicios que emito dan la medida de mi entendimiento, más que de las cosas mismas.</t>
  </si>
  <si>
    <t>Batman.</t>
  </si>
  <si>
    <t>A Pablo Casado se le esta yendo la pinza muy fuerte. RT @elmundoes: Pablo Casado reclama en Algeciras un "Gibraltar español"</t>
  </si>
  <si>
    <t>Macondo.</t>
  </si>
  <si>
    <t>Dije te quiero a Norman Harris. Experta en pizzas, constructora de cohetes y amante de los gigantes. Cultura popular, política internacional y variedades. 🌿🐑</t>
  </si>
  <si>
    <t>Pol MQ 🇪🇺</t>
  </si>
  <si>
    <t>45 actos tiene programados Pablo Casado para la campaña de las andaluzas. Una auténtica burrada sin ser él el candidato. Un posible fracaso el #2D sería empezar a cavar su tumba política.</t>
  </si>
  <si>
    <t>Blanes, Girona</t>
  </si>
  <si>
    <t>Pasión por la política, la economía y por el deporte. @FCBarcelona @Taylor_Fritz97 @RogerFederer @DjokerNole @RealZaragoza @BelindaBencic. DON KYLIAN MBAPPÉ</t>
  </si>
  <si>
    <t>http://supertiebreak.es</t>
  </si>
  <si>
    <t>Manuel Alejandro</t>
  </si>
  <si>
    <t>Pablo Casado acusa a Sánchez de traidor por no reclamar un Gibraltar español. Que Gibraltar se separe de UK bien, Cataluña de España mal Ajá RT @elmundoes: Pablo Casado reclama en Algeciras un "Gibraltar español"</t>
  </si>
  <si>
    <t>Pursuit of happiness!</t>
  </si>
  <si>
    <t>Cuando la escriba, la publicaré</t>
  </si>
  <si>
    <t>Pablo Casado: "Nosotros no colonizábamos, hacíamos una España más grande". Queda confirmado lo que todos ya sabíamos, no ha pisado una universidad en su vida.</t>
  </si>
  <si>
    <t>https://pbs.twimg.com/media/DsSak2gX4AAyClp.jpg</t>
  </si>
  <si>
    <t>Meh2.0  ¯\_(ツ)_/¯</t>
  </si>
  <si>
    <t>Pablo casado tiene cara de que “siempre saludaba” pero tiene a la abuela disecada en el salón y habla con ella a lo “psicosis”</t>
  </si>
  <si>
    <t>I’m back bitches. Soy laísta a mucha honra. Sincebollista. CAFYD por la UPM, INEF. Tengo un máster pero de los de verdad. EDUARDO INDA LA CHUPA.</t>
  </si>
  <si>
    <t>Óscar Amor López</t>
  </si>
  <si>
    <t>Segundo Pablo Casado,doutor honoris causa en historia pola Universidade de Canfor: O PP non tiña caixa B,so facía os seus ingresos máis grandes,alén de calquera normal</t>
  </si>
  <si>
    <t>trilogías╰╰</t>
  </si>
  <si>
    <t>Pablo Casado hablando de cooperación de ayuda al desarrollo, jajaja</t>
  </si>
  <si>
    <t>Renderizando dramedias</t>
  </si>
  <si>
    <t>Edelmiro Martínez</t>
  </si>
  <si>
    <t>Gibraltar español! Me encanta ver cómo Pablo Casado convierte el @PPopular en la nueva falange. Le falta poner en el programa electoral el una, grande y libre!!!</t>
  </si>
  <si>
    <t>🖤IRAZOLA |-/💛</t>
  </si>
  <si>
    <t>Oye pero en serio, el Pablo Casado da un poco de penita pidiendo Gibraltar español. En serio, ¿qué le pasa a este hombre por la cabeza? 😂🤦‍♀️</t>
  </si>
  <si>
    <t>2001-∞</t>
  </si>
  <si>
    <t>Aspire to inspire // •I owned every second that this world could give• || You only get what you give || GOOD RIDDANCE || #LoveIsLove</t>
  </si>
  <si>
    <t>http://dlvr.it/QrWrK1</t>
  </si>
  <si>
    <t>https://pbs.twimg.com/media/DsSaNufV4AEOr_q.jpg</t>
  </si>
  <si>
    <t>Jesús Plá González</t>
  </si>
  <si>
    <t>Tengo claro que por el PSOE se presenta Susana Díaz y por Adelante Andalucía Teresa Rodríguez pero, ¿quién se presenta por el PP? Porque en la campaña electoral sólo estoy viendo a Pablo Casado y Zoido. Y en Ciudadanos se presentará Albert Rivera, porque es al único que veo.</t>
  </si>
  <si>
    <t>Estudiante de Ingeniería en la Politécnica de Sevilla. Sevillista.</t>
  </si>
  <si>
    <t>Pablo casado con el discurso de Gibraltar español. Is he antonio recio de la que se avecina?</t>
  </si>
  <si>
    <t>Muy bueno este artículo de @Guerraeterna sobre el revisionismo histórico de Pablo Casado sobre la colonización de la corona española.</t>
  </si>
  <si>
    <t>☠️JayVanian☠️</t>
  </si>
  <si>
    <t>Cada vez que hay una rueda de prensa de Pablo Casado</t>
  </si>
  <si>
    <t>pic.twitter.com/qLXYvkc2uA</t>
  </si>
  <si>
    <t>KaliYuga</t>
  </si>
  <si>
    <t>Simpático pero demente. Me gusta el dolce far niente. Soy adicto al consumo de todo lo que hay. Luego me redimo con Cocacola light –WH– I.THINK.I'M.WONDERFUL!!!</t>
  </si>
  <si>
    <t>Gadegània</t>
  </si>
  <si>
    <t>¿ Dónde estudiaría Pablo Casado su máster de historia de América ?</t>
  </si>
  <si>
    <t>Gadegània, república independent. Dic lo que em surt de la cigala. O no.</t>
  </si>
  <si>
    <t>salvador martí</t>
  </si>
  <si>
    <t>Rubén LM</t>
  </si>
  <si>
    <t>Pablo Casado la has 'cagado'. FIN.</t>
  </si>
  <si>
    <t>https://www.libertaddigital.com/opinion/federico-jimenez-losantos/el-misterio-del-suicidio-de-casado-con-el-veneno-de-rajoy-86505/</t>
  </si>
  <si>
    <t>Nacer, vivir, morir, mi estado actual es sobrevivir con humor, si es posible. Sin acritud y con critica.</t>
  </si>
  <si>
    <t>Pablo Casado carece del filtro que evita que digas todas las chorradas que se te pasan por la cabeza.</t>
  </si>
  <si>
    <t>https://pbs.twimg.com/media/DsSYe08XQAA607c.jpg</t>
  </si>
  <si>
    <t>✍🏼 OPINIÓN | Pablo Casado contra la Historia  Por @Guerraeterna</t>
  </si>
  <si>
    <t>Bit Media</t>
  </si>
  <si>
    <t>Pablo Casado acusa a Pedro Sánchez de "traición" por no pedir "un Gibraltar español"</t>
  </si>
  <si>
    <t>http://entretenimientobit.com/interes-general/pablo-casado-acusa-a-pedro-sanchez-de-traicion-por-no-pedir-un-gibraltar-espanol/?utm_campaign=twitter&amp;utm_medium=twitter&amp;utm_source=twitter</t>
  </si>
  <si>
    <t>Todo lo que ocurre en el mundo con noticias al instante para la comunidad hispanoparlante</t>
  </si>
  <si>
    <t>Ｓａｎｚ</t>
  </si>
  <si>
    <t>Don @ldpsincomplejos aventura algunas posibles causas para esta actitud inexplicable de Casado. Me apunto a la que tiene relación con Rajoy...  vía @libertaddigital</t>
  </si>
  <si>
    <t>Ya no estoy muy convencido de que podemos transformar España de país de oportunistas a país de oportunidades.</t>
  </si>
  <si>
    <t>PP MONTILLA</t>
  </si>
  <si>
    <t>Me ha gustado un vídeo de @YouTube ( - Pablo Casado visita Lagar Blanco en plena Sierra de Montilla).</t>
  </si>
  <si>
    <t>http://youtu.be/NLCcLn17ERQ?a</t>
  </si>
  <si>
    <t>Montilla</t>
  </si>
  <si>
    <t>Partido Popular de Montilla</t>
  </si>
  <si>
    <t>http://www.ppmontilla.es</t>
  </si>
  <si>
    <t>Dadas las últimas declaraciones de Pablo Casado sobre el tamaño de España la siguiente frase lapidaria será: "DENME UNA ESPAÑA MÁS GRANDE."</t>
  </si>
  <si>
    <t>Mario Beramendi</t>
  </si>
  <si>
    <t>A mí Pablo Casado me recuerda a aquel pie de foto de las cuevas de Altamira en el que se decía que los españoles prehistóricos ya eran buenos pintores</t>
  </si>
  <si>
    <t>Santiago (A Coruña), Galicia</t>
  </si>
  <si>
    <t>(Barcelona, 1973) Periodista. Padre de Bruno y Mario. Creo que es posible un mundo mejor.</t>
  </si>
  <si>
    <t>http://www.pasenyleanorg.wordpress.com</t>
  </si>
  <si>
    <t>Pablo Casado, en Algeciras ante 3.000 personas: "Los únicos que pedimos un Gibraltar español somos nosotros. Una vez más, el PSOE se ha rendido para hacerse el simpático. Qué traición".</t>
  </si>
  <si>
    <t>https://pbs.twimg.com/media/DsSWHODXQAcwALd.jpg</t>
  </si>
  <si>
    <t>Pablo Casado reclama en Algeciras un "Gibraltar español"</t>
  </si>
  <si>
    <t>https://trib.al/apM21Cb</t>
  </si>
  <si>
    <t>Cónel Rojas</t>
  </si>
  <si>
    <t>http://dlvr.it/QrWnQQ</t>
  </si>
  <si>
    <t>https://pbs.twimg.com/media/DsSU8XNUUAALeWP.jpg</t>
  </si>
  <si>
    <t>Periodista venezolano 🇻🇪 del estado #Táchira / Seguidor del mejor líder de la historia, Jesucristo / En mi cuenta te mantendrás informado con #Noticias del 🌎</t>
  </si>
  <si>
    <t>Pablo Casado: 'Sánchez es un zombi que no se ha dado cuenta que tiene que convocar ya las elecciones cuanto antes'  vía @laSextaTV</t>
  </si>
  <si>
    <t>https://goo.gl/mzLwXx</t>
  </si>
  <si>
    <t>La interpretación de la historia de Pablo Casado es digna de un villano viajerotemporal de Stan Lee.</t>
  </si>
  <si>
    <t>Pirata de piscina</t>
  </si>
  <si>
    <t>Yo quiero ser un zombi: sólo piensan en comer, pueden mearse y cargarse encima y no han de pensar... claro que también puedo ser como Pablo Casado...</t>
  </si>
  <si>
    <t>Biodegradable.</t>
  </si>
  <si>
    <t>Pablo Casado se apunta al revisionismo histórico: 'Nosotros no colonizábamos, lo que hacíamos era tener una España más grande'  vía @</t>
  </si>
  <si>
    <t>https://goo.gl/tEwhcj</t>
  </si>
  <si>
    <t>Pablo Casado presenta "Diversión con banderas". #Ridículo #FelizDomingo RT @PPopular: 🇪🇸 @pablocasado_: “Creo en una España en la que puedo enarbolar la bandera de Andalucía con el mismo orgullo que si fuese andaluz siendo palentino, porque esta bandera es de todos”. #VotaGarantíaDeCambio</t>
  </si>
  <si>
    <t>Nonada</t>
  </si>
  <si>
    <t>Pepe Ortiz, nº1 del PP por Cádiz y secretario general del Grupo Popular en el Senado, en el mitin con Juan Manuel Moreno y Pablo Casado: votar a #Vox “Es un voto inútil, tirar ese voto a la basura, no serviría de nada”. Los 'in_útiles' del PP tras 40 años 'gobernando' el PSOe</t>
  </si>
  <si>
    <t>pah tarragona</t>
  </si>
  <si>
    <t>Plaça imperial Tarraco Num 1</t>
  </si>
  <si>
    <t>plataforma afectados por la hipoteca de tarragona, charla inicial martes 18h asamblea general jueves 18h tlf 608413072 pahtarragonaoficial@gmail.com</t>
  </si>
  <si>
    <t>Sutcliffe</t>
  </si>
  <si>
    <t>Según la teoría de Pablo Casado, Hitler, Napoleón, etc. lo único que hicieron es hacer sus países más grandes. Que nos gusta mucho criticar.</t>
  </si>
  <si>
    <t>No es sólo que se falsee la historia, es que se inventa en los medios del régimen, el resultado es este esperpento enajenado que vota contra si mismo. M.Alazne</t>
  </si>
  <si>
    <t>Enrique Bonilla Algovia</t>
  </si>
  <si>
    <t>A Pablo Casado le convalidaron la asignatura de Historia. RT @ElHuffPost: Pablo Casado: "Los españoles no colonizábamos, lo que hacíamos era tener una España más grande"</t>
  </si>
  <si>
    <t>Somos un partido q se siente orgulloso de Andalucía y de España, de @JuanMa_Moreno y de nuestro Pte nacional @pablocasado_ Otros,se dedican a esconder a sus líderes nacionales y sus siglas. Gracias Pablo Casado por empaparte d Andalucía antes,ahora y cuando seas Pte del Gobierno</t>
  </si>
  <si>
    <t>https://pbs.twimg.com/media/DsSFxBnXoAA50Lw.jpg</t>
  </si>
  <si>
    <t>Docencia e investigación. Doy clase en la universidad. Investigador en materia de género y feminismo. Autor de Tras los ojos de Victoria.</t>
  </si>
  <si>
    <t>http://enriquebonillaalgovia.blogspot.com</t>
  </si>
  <si>
    <t>Españistán</t>
  </si>
  <si>
    <t>La idiosincrasia del lugar... Arreglando el mundo desde cualquier bar!!!</t>
  </si>
  <si>
    <t>Pablo Casado: “El gobierno de Sánchez es como el aloe vera, cuanto más lo investigan más propiedades tiene, ¿dónde está la exigencia que Sánchez tenía con los demás?”.</t>
  </si>
  <si>
    <t>https://www.facebook.com/nuevasgeneraciones.calahorra/posts/919063584931058</t>
  </si>
  <si>
    <t>JULIÁN CARCAÑOPAREJA</t>
  </si>
  <si>
    <t>La iglesia roba la Mezquita de Córdoba para hacer negocio con las entradas y el PP bendice el robo...</t>
  </si>
  <si>
    <t>De paso por la vida.</t>
  </si>
  <si>
    <t>Ildefonso</t>
  </si>
  <si>
    <t>Pablo Casado se apunta al revisionismo histórico: "Nosotros no colonizábamos, lo que hacíamos era tener una España más grande"</t>
  </si>
  <si>
    <t>http://dlvr.it/QrWlTd</t>
  </si>
  <si>
    <t>https://pbs.twimg.com/media/DsSQ06VVsAAg6o7.jpg</t>
  </si>
  <si>
    <t>Andaluz ... socialista ... ¡Pero Crítico! Me averguenza la gestión llevada a cabo por el gobierno andaluz</t>
  </si>
  <si>
    <t>Diego santos Lopez</t>
  </si>
  <si>
    <t>Cada vez que Pablo casado abre la boca un historiador se quita la vida</t>
  </si>
  <si>
    <t>Cocalzinho de Goiás, Brasil</t>
  </si>
  <si>
    <t>Se supone que voy a ser historiador prometido de @erizokolgao</t>
  </si>
  <si>
    <t>Pablo Casado contra la Historia  por Guerraeterna</t>
  </si>
  <si>
    <t>Comunicación_VE</t>
  </si>
  <si>
    <t>Pablo Casado contra la Historia  #ComunicacionVE #teamfollowback</t>
  </si>
  <si>
    <t>Venezuela - Porlamar</t>
  </si>
  <si>
    <t>Cuenta dedicada a la difusión de enlaces, temas y discusiones en materia politica</t>
  </si>
  <si>
    <t>Pablo Casado contra la Historia. España nunca colonizó América. La plata que financió el imperio español nunca existió.</t>
  </si>
  <si>
    <t>https://pbs.twimg.com/media/DsSOn39WoAI4j9f.jpg</t>
  </si>
  <si>
    <t>Señores de @okdiario ojalá Pablo Casado sea Rafa Nadal pero aún no lo es😄</t>
  </si>
  <si>
    <t>https://pbs.twimg.com/media/DsSObwdXQAA-1-x.jpg</t>
  </si>
  <si>
    <t>Albert Rivera será presidente de España antes o después. CIUDADANO del MUNDO. 🇪🇸🇪🇺</t>
  </si>
  <si>
    <t>Pablo Casado entrega la Justicia a Pedro Sánchez, por @ldpsincomplejos  Creí en el discurso renovador de @pablocasado_. Poco ha durado la promesa. Imposible confiar en este nuevo (viejo) @PPopular. Casado ha perdido una oportunidad de oro a cambio de nada.</t>
  </si>
  <si>
    <t>E. Delgado</t>
  </si>
  <si>
    <t>Casado: "Los españoles no colonizábamos, lo que hacíamos era tener una España más grande". Y Hitler no invadía paises, hacía una Alemania más grande según el demócrata Pablo Casado 🙄 RT @lizcastro: "We didn't colonize, we just made Spain bigger"—Spanish PP leader (the party that governed Spain between 2010 and 2018). Oh my. Ask the Taino, the Aztecs, the Incas, for god's sake, you called yourselves "conquistadores"</t>
  </si>
  <si>
    <t>https://twitter.com/lizcastro/status/1063912881039785987
https://www.huffingtonpost.es/2018/11/17/pablo-casado-los-espanoles-no-colonizabamos-lo-que-haciamos-era-tener-una-espana-mas-grande_a_23592393/?ncid=other_twitter_cooo9wqtham&amp;utm_campaign=share_twitter</t>
  </si>
  <si>
    <t>Los Angeles, CA</t>
  </si>
  <si>
    <t>🇵🇷 Nunca Caminarás Solo. YNWA 🔴</t>
  </si>
  <si>
    <t>Mikel De Aralar</t>
  </si>
  <si>
    <t>Pones un cartel de Pablo Casado para las Andaluzas, pero el que se la juega es ese desconocido que no aparece ni en los carteles de campaña. Veo que el PP va ha tener un resultado de mierda y hacen la de la avestruz. RT @iescolar: La dirección del PP, ante las “bajas expectativas” en Andalucía: "Quien se la juega es Juanma Moreno, no Casado"  vía @eldiarioes</t>
  </si>
  <si>
    <t>https://twitter.com/iescolar/status/1064124089797877760
https://m.eldiario.es/_31e00bd1</t>
  </si>
  <si>
    <t>San Sebastián, España</t>
  </si>
  <si>
    <t>Donostiarra y socialista. Estudiante de Derecho📝🎓 EHU/UPV. Un Rt o Fav, no es estar de acuerdo. Cuenta personal. 🇵🇸#FreePalestina!!!!!!</t>
  </si>
  <si>
    <t>KIKE 👽</t>
  </si>
  <si>
    <t>¿Se me permite decir que la gente del PP se ha vuelto incluso más tonta desde que Pablo Casado es presidente? RT @IdiazAyuso: ¿Acaso esto no es cierto? ¿No hacíamos un país más grande y formábamos parte de las mayores gestas que ha logrado la historia occidental? ¿Qué clase de periodismo “español” es este?</t>
  </si>
  <si>
    <t>https://twitter.com/idiazayuso/status/1063778334369292289
https://twitter.com/eldiarioes/status/1063776742714822656?s=21</t>
  </si>
  <si>
    <t>Periodismo y Comunicación Audiovisual (UC3M) || De vez en cuando escribo en http://www.medium.com/@qquiquee || Antes en @CapitalRadioB</t>
  </si>
  <si>
    <t>http://instragram.com/@qquiquee</t>
  </si>
  <si>
    <t>J. A. Pineda-Alfonso</t>
  </si>
  <si>
    <t>Sevilla (España)</t>
  </si>
  <si>
    <t>PhD in Social Sciences Education at University of Seville (Spain)</t>
  </si>
  <si>
    <t>Chelo Ojeda</t>
  </si>
  <si>
    <t>Pablo Casado entrega la Justicia a Pedro Sánchez. Estos del Pp siguen sin aprender. Se la meten doblada cada vez que pueden. ¿Casado,te alias con el golpista ZetaSanchez?Explica eso, listillo. @ldpsincomplejos  vía @libertaddigital</t>
  </si>
  <si>
    <t>PiliQueribus</t>
  </si>
  <si>
    <t>😂 Qué-grande . La pregunta es ¿qué se fuman en el PP en general y Pablo Casado en particular? #UAPC RT @Tyrexito: Algunos hechos que han sucedido de forma contrafactual a nuestra realidad en el #UAPC (Universo Alternativo Pablo Casado):</t>
  </si>
  <si>
    <t>https://twitter.com/Tyrexito/status/1044117207461056512</t>
  </si>
  <si>
    <t>Tengo tantas cosas que decir que, si me callo, me salen tuits. Incontinencia verbal, la llaman.</t>
  </si>
  <si>
    <t>ＭａｎｕＴｏｒｒｅｓ</t>
  </si>
  <si>
    <t>Finaliza Pablo Casado, en un auditorio hasta la bandera en #Algeciras, comienza Moreno Bonilla y no cesa un hormigueo de gente que se está marchando.</t>
  </si>
  <si>
    <t>Sevilla / Granada</t>
  </si>
  <si>
    <t>Reportero. Ahora contando historias desde Granada y parte del extranjero en @informativost5 y @noticias_cuatro // Reporter. Spanish journalist. Opinión personal</t>
  </si>
  <si>
    <t>Alfredo Sanz</t>
  </si>
  <si>
    <t>Las declaraciones de Pablo Casado ofenden a la inteligencia ... da igual cuando leas esto</t>
  </si>
  <si>
    <t>https://pbs.twimg.com/media/DsSKK0fWoAACLGa.jpg</t>
  </si>
  <si>
    <t>En la vida, luchando.</t>
  </si>
  <si>
    <t>Amanece ... que no es poco</t>
  </si>
  <si>
    <t>maribel aratz</t>
  </si>
  <si>
    <t>Es decir el Sr. Pablo Casado muy masterizado sin ninguna cultura debido a sus facultades mentales confunde o esgrime q los pueblos colonizados son salvajes a los q hay q someter a las democracias o monarquismo</t>
  </si>
  <si>
    <t>El presidente del PP, Pablo Casado, volvió a la carga este sábado con su particular visión de la historia de España. Para intentar rebatir a...</t>
  </si>
  <si>
    <t>https://www.elperiodico.com/es/politica/20181117/casado-intervenir-cuentas-cataluna-7153056?utm_source=facebook&amp;utm_medium=social</t>
  </si>
  <si>
    <t>Podemos Andalucía</t>
  </si>
  <si>
    <t>.@MailloAntonio: "Mientras Pablo Casado e Inés Arrimadas vienen a Andalucía a hablar de Cataluña, nosotros hablamos de Andalucía, de los problemas y soluciones para los andaluces y andaluzas". #MálagaConAdelante</t>
  </si>
  <si>
    <t>Twitter oficial de Podemos Andalucía.</t>
  </si>
  <si>
    <t>http://www.andaluciapodemos.info/</t>
  </si>
  <si>
    <t>José María Matás</t>
  </si>
  <si>
    <t>Este año se han cumplido 50 años de la matanza de My Lai, en que soldados estadounidenses asesinaron a decenas de mujeres, niños y ancianos intentando, como diría Pablo Casado, hacer de Vietnam un Estados Unidos más grande.</t>
  </si>
  <si>
    <t>Vélez-Málaga, Andalucía</t>
  </si>
  <si>
    <t>Erratizador. Camusiano. A Borges rogando y con Sabato dando. #libros #política #comunicación</t>
  </si>
  <si>
    <t>Reek!Luci🎗</t>
  </si>
  <si>
    <t>Parecía que Pablo Casado no podía decir algo más tonto que aquello de que el descubrimiento de América fue la hazaña más importante de la humanidad, pero sí. Y además sobre el mismo tema.</t>
  </si>
  <si>
    <t>En un bucle de fandoms sin fin</t>
  </si>
  <si>
    <t>Everyone is alone. Everyone is empty. I had gotten bored of a world like that.</t>
  </si>
  <si>
    <t>http://ninfra.deviantart.com/</t>
  </si>
  <si>
    <t>Natalia Junquera</t>
  </si>
  <si>
    <t>Metáforas de campaña. Pablo Casado, en Algeciras: "Este Gobierno es como el aloe vera: cuanto más le investigan, más propiedades les descubren" #EleccionesAndaluzas</t>
  </si>
  <si>
    <t>periodista del diario EL PAÍS. También escribo en Jotdown. Made in Galicia BLOG: https://nataliajunquerablog.wordpress.com</t>
  </si>
  <si>
    <t>http://elpais.com/autor/natalia_junquera/a/</t>
  </si>
  <si>
    <t>Alonso</t>
  </si>
  <si>
    <t>Duro editorial de Losantos contra Pablo Casado por entregarle el Poder Judicial a Podemos: «Nos ha engañado de la forma más humillante».</t>
  </si>
  <si>
    <t>Yo también creo que Jack cabía en el tablón de madera.</t>
  </si>
  <si>
    <t>https://www.youtube.com/c/AlonsoDM</t>
  </si>
  <si>
    <t>nico gallardo</t>
  </si>
  <si>
    <t>La versión española de la @udipopular.</t>
  </si>
  <si>
    <t>https://www.lavanguardia.com/politica/20181117/452992780484/pablo-casado-espana-no-colonizaba-tener-espana-mas-grande.html?facet=amp&amp;__twitter_impression=true</t>
  </si>
  <si>
    <t>Todo el poder a las ciencias. Todas las ciencias al Pueblo.</t>
  </si>
  <si>
    <t>จาเวียร์ มาร์ติน</t>
  </si>
  <si>
    <t>Maravilla la forma en la que presenta este @pablo_casado en @eldebatedehoy. No es por que sea amigo, es que tiene esa voz clásica radiofónica que a todos nos recuerda a alguien conocido. (Cultura y Debate): “La cultura que se inspira en las estrellas”.</t>
  </si>
  <si>
    <t>http://www.ivoox.com/30098587</t>
  </si>
  <si>
    <t>Madrid-Philly-Tenerife</t>
  </si>
  <si>
    <t>Former Muay Thai fighter. @Eagles_Spain podcast editor. #VR46 #FlyEaglesFly #GoBlue #PatsNation #Erreala #Redsox</t>
  </si>
  <si>
    <t>FERRAN</t>
  </si>
  <si>
    <t>Al niño inepto quién coño le ha enseñado? Vergüenza ajena .... Casado: "Los españoles no colonizábamos, lo que hacíamos era tener una España más grande"</t>
  </si>
  <si>
    <t>Farmacèutic trempant amb la futura Catalunya. Benvingut pensador crític #FreeTothom</t>
  </si>
  <si>
    <t>http://elmillorferran.blogspot.com.es/</t>
  </si>
  <si>
    <t>Pasaba por aquí.</t>
  </si>
  <si>
    <t>Me gusta la vida y hago lo que puedo....</t>
  </si>
  <si>
    <t>David Montañez</t>
  </si>
  <si>
    <t>Una posverdad.</t>
  </si>
  <si>
    <t>“Se puede derrocar un trono por la fuerza, pero solo la sabiduría puede fundar una república” Robespierre. Si me faltas al respeto, te bloqueo.</t>
  </si>
  <si>
    <t>http://alcantarillasocial.com/author/davidmocli24/</t>
  </si>
  <si>
    <t>iñigo muguiro</t>
  </si>
  <si>
    <t>Por un plato de lentejas!!! Qué inmensa decepción Pablo Casado entrega la Justicia a Pedro Sánchez - Los enigmas del 11M - Libertad Digital</t>
  </si>
  <si>
    <t>¡¡Never give up, Never look back!!</t>
  </si>
  <si>
    <t>http://www.veintesegundos.com</t>
  </si>
  <si>
    <t>ana sanchez</t>
  </si>
  <si>
    <t>Pablo Casado se apunta al revisionismo histórico: 'Nosotros no colonizábamos, lo que hacíamos era tener una España más grande'  vía @ insisto!!...no se puede ir regalando Master por ahí a diestro y siniestro...</t>
  </si>
  <si>
    <t>Dama Blanca</t>
  </si>
  <si>
    <t>#Ay Colón no colonizaba, lo que pasa es que la tenia más grande #oletushuevostoreros : "Los españoles no colonizábamos, lo que hacíamos era tener una España más grande"</t>
  </si>
  <si>
    <t>volando alto</t>
  </si>
  <si>
    <t>En otra vida ojeroso ahora bruja en tierras heladas. Llego al torrente de piadas atraída, cual Piolín, por un gato comentarista y por un nocturno cronista.</t>
  </si>
  <si>
    <t>felix j m</t>
  </si>
  <si>
    <t>Ana Espada</t>
  </si>
  <si>
    <t>Aún está a tiempo Pablo Casado d dar un paso atrás en la designación del CGPJ. Se lo ha entregado a la izquierda golpista. Así no recuperará a los votantes. ¡RECTIFICA! #VOXÚtil Consejo General del Poder Judicial: Rectificar es de sabios  vía @@disidentia</t>
  </si>
  <si>
    <t>https://disidentia.com/consejo-general-del-poder-judicial-rectificar-es-de-sabios/</t>
  </si>
  <si>
    <t>El yo se convertirá en otra cosa infinitamente más compleja. De lo contrario es absurdo, y no encuentro espacio para lo absurdo en el proyecto del mundo. ✝️💪✌️</t>
  </si>
  <si>
    <t>José Manuel Fuentes</t>
  </si>
  <si>
    <t>“ Las causas por las que luchamos son difíciles,pero son tan justas que algún día las alcanzaremos " D.G.A.</t>
  </si>
  <si>
    <t>Cuando pintaron Altamira, nadie pensó que uno de sus descendientes sería Pablo Casado. Necesitamos ampliar los supuestos de aborto si o si.</t>
  </si>
  <si>
    <t>pic.twitter.com/JvaqHOvGi8</t>
  </si>
  <si>
    <t>Pablo Casado, en Algeciras: "Los únicos que pedimos un Gibraltar español somos nosotros. Una vez más, el PSOE se ha rendido negociando para hacerse los simpáticos. Qué traición. El Brexit es una oportunidad". #eleccionesandaluzas</t>
  </si>
  <si>
    <t>Alícia P.</t>
  </si>
  <si>
    <t>No sé si este tío es muy listo o muy tonto.</t>
  </si>
  <si>
    <t>Dic el que em sembla</t>
  </si>
  <si>
    <t>Jaime🔻</t>
  </si>
  <si>
    <t>Según Pablo Casado esto sería hacer más grande el planeta de los alienígenas. Con orgullo. RT @frandelgval: @quijoteysanchez @IdiazAyuso Imagina que alienígenas llegan aquí, nos quitan la tierra , nuestras casas pasan a ser suyas, nos infectan con una bacteria mortal para nosotros, muere el 50%, nos empiezan a convertir a su fe,nos roban y explotan para enviar productos y comida a su planeta ¿te parecería bien?</t>
  </si>
  <si>
    <t>https://twitter.com/frandelgval/status/1064068011672387584?s=19</t>
  </si>
  <si>
    <t>Pirineo central</t>
  </si>
  <si>
    <t>Más temprano que tarde retornarán los libros, las canciones que quemaron las manos asesinas. Renacerá mi pueblo de su ruina y pagarán su culpa los traidores.</t>
  </si>
  <si>
    <t>Juan Pablo Arriaga</t>
  </si>
  <si>
    <t>Mitin del PP Andaluz en Algeciras con Pablo Casado, Juanma Moreno y Pepe Ortíz</t>
  </si>
  <si>
    <t>https://pbs.twimg.com/media/DsSBSInXgAEjTWf.jpg</t>
  </si>
  <si>
    <t>La Línea de la Concepción, España</t>
  </si>
  <si>
    <t>Director @AlcaidesaG 25 Aniversario Alcaidesa Golf</t>
  </si>
  <si>
    <t>Alberto A. Lugrís</t>
  </si>
  <si>
    <t>«América xa era España antes de Colón, pero os ignorantes dos indios non o sabían e tivemos que ir a dicírllelo»</t>
  </si>
  <si>
    <t>Dicionario moderno inglés galego ☺ Por aquí, a chiar e rechouchiar... http://alugris.paratraduccion.com</t>
  </si>
  <si>
    <t>http://paratraduccion.com/alugris/</t>
  </si>
  <si>
    <t>Al paso que vamos Pablo Casado no tiene el graduado escolar</t>
  </si>
  <si>
    <t>Michael Martins</t>
  </si>
  <si>
    <t>Cada dia no se quien me da asco mas los fachas, Pablo casado,Ines Arrimadas,la manada, fake news, Trump, el principal de Saudi Arabia, Villalobos #Villarejo Cospedal, corrupcion, football,sexo, los obispo, la Iglesias, religion, cada dia algo me dan asco.#FelizDomingo</t>
  </si>
  <si>
    <t>I was born not to make it but I did,life is a bitch fuck it.I am that rose that graw from concrete.</t>
  </si>
  <si>
    <t>Marc</t>
  </si>
  <si>
    <t>Ñoles de derecha moderada: que tal pablo casado y su respeto a los dchos humanos?.Eso de los dchos humanos os la suda porque el fin justifica los medios. Qué opinan vuestros hijos?..me consta que a muchos les.molesta la actitud de papa</t>
  </si>
  <si>
    <t>la Sagrada Familla, Barcelona</t>
  </si>
  <si>
    <t>Política y Gobierno lluïtem per un món millor on aquells que viuen del sistema i se.n aprofiten acabin pringant</t>
  </si>
  <si>
    <t>Yipeich</t>
  </si>
  <si>
    <t>Pablo Casado ha devenido Pablo Casino en tiempo récord.</t>
  </si>
  <si>
    <t>Ostracismo</t>
  </si>
  <si>
    <t>Minnie Malista. Más Platón y menos caverna, puto beatle.</t>
  </si>
  <si>
    <t>https://polisclasica.blogspot.com.es/</t>
  </si>
  <si>
    <t>Zocorro</t>
  </si>
  <si>
    <t>Pablo Casado starter pack</t>
  </si>
  <si>
    <t>https://pbs.twimg.com/media/DsR_TcSXgAA8ceK.jpg</t>
  </si>
  <si>
    <t>Alicante, España</t>
  </si>
  <si>
    <t>No sé para qué me he hecho Twitter. Creo que me obligaron, pero no me acuerdo. Pues eso. Economía UA. Vivan los del 98.</t>
  </si>
  <si>
    <t>Victor Casco 🔻🌈</t>
  </si>
  <si>
    <t>Los franceses con Napoleón no invadían. ¡Hacian una Francia más grande!</t>
  </si>
  <si>
    <t>Caceres, Extremadura</t>
  </si>
  <si>
    <t>Cónsul de Sodoma. Rojo, republicano, ateo... vamos, lo que viene siendo un dechado de virtudes para la mayoría.</t>
  </si>
  <si>
    <t>Gonzalo Boye</t>
  </si>
  <si>
    <t>Pobre... se ha puesto nerviosa cuando se ha descubierto que fe historia sabe lo que Pablo Casado de Derecho o Historia RT @IdiazAyuso: @boye_g Es mejor ser como tú.</t>
  </si>
  <si>
    <t>https://twitter.com/IdiazAyuso/status/1064114032754475009
https://www.elespanol.com/reportajes/20180923/primeras-fotos-eta-abogado-boye-secuestraron-revilla/339966388_0.html</t>
  </si>
  <si>
    <t>Abogado en @BoyeElbal, profesor de derecho procesal penal y escribo en @Contrapoder_CM - RT no significa adhesión</t>
  </si>
  <si>
    <t>http://www.boye-elbal.com</t>
  </si>
  <si>
    <t>Librepensador</t>
  </si>
  <si>
    <t>El problema de los indigentes intelectuales y sus medios.</t>
  </si>
  <si>
    <t>https://amp.lasexta.com/noticias/nacional/elecciones-andalucia/pablo-casado-se-apunta-al-revisionismo-historico-nosotros-no-colonizabamos-lo-que-haciamos-era-tener-una-espana-mas-grande-video_201811175bf050940cf288806d386365.html?__twitter_impression=true</t>
  </si>
  <si>
    <t>Quiero ver la nueva aurora el amanecer. En donde a nadie le falte de nada y todo sea de todos !</t>
  </si>
  <si>
    <t>Plumaroja2.0</t>
  </si>
  <si>
    <t>Una cosa ha quedado clara de #SuarezIllana: es un personaje innecesario para un país democrático, al que solo un mediocre como Pablo Casado podría dar un protagonismo inmerecido. En CLM perdió las elecciones y ni siquiera tomó posesión del acta de diputado</t>
  </si>
  <si>
    <t>https://pbs.twimg.com/media/DsR80u7XgAAYacm.jpg</t>
  </si>
  <si>
    <t>Fernando Betancor</t>
  </si>
  <si>
    <t>⁦@pablocasado_⁩ ¿Estarías de acuerdo entonces que los moros no conquistaron Iberia, solo hicieron que Al Andalus fuese más grande?</t>
  </si>
  <si>
    <t>La Mancha</t>
  </si>
  <si>
    <t>Ecomarxista y senderista. Siempre quise ser pastor de árboles. Escribiendo y dibujando sobre brujas, duendes y otros mitos manchegos</t>
  </si>
  <si>
    <t>http://plumaroja-plumaroja.blogspot.com</t>
  </si>
  <si>
    <t>Virginia (via Madrid)</t>
  </si>
  <si>
    <t>http://fdbetancor.com</t>
  </si>
  <si>
    <t>Cuando era chaval hace demasiados años me contaron la historia de España q no me creo nunca. Ahora me la explica otra vez Pablo Casado y ya estoy tan mayor q me da la risa..ni me cabreo.</t>
  </si>
  <si>
    <t>#España El apologeta del genocidio. Pablo Casado revisa la Historia de América: "Nosotros no colonizábamos, hacíamos una España más grande"  vía @eldiarioes</t>
  </si>
  <si>
    <t>https://www.eldiario.es/_31e00b39</t>
  </si>
  <si>
    <t>Alberto Scarinci 🎗</t>
  </si>
  <si>
    <t>Il Salvini spagnolo avanza. Mucho cuidado!</t>
  </si>
  <si>
    <t>@AquestAnySI</t>
  </si>
  <si>
    <t>Pablo Casado con la estupidez... RT @boye_g: Ya sabía que de Derecho no tenía ni idea pero veo que tampoco la tiene de historia</t>
  </si>
  <si>
    <t>https://twitter.com/boye_g/status/1063835624795529216
https://twitter.com/eldiarioes/status/1063776742714822656</t>
  </si>
  <si>
    <t>Som catalans i fa 300 anys ens van fer, primer castellans i més tard espanyols. Però mai hem deixat de ser Catalans.</t>
  </si>
  <si>
    <t>Pablo Casado abrirá el 12 de diciembre el II Congreso Internacional de AFAMMER con una charla sobre libertad e igualdad  este saco de mierda necio fascista hable de Libertad e Igualdad es para 😂😂😂😂😂😂😂😂😂</t>
  </si>
  <si>
    <t>https://www.europapress.es/castilla-lamancha/noticia-pablo-casado--Qué</t>
  </si>
  <si>
    <t>Alfonso_Bej</t>
  </si>
  <si>
    <t>Lees la entradilla del primer párrafo y es propio de un falangista de la posguerra. #Mezquita #Cordoba</t>
  </si>
  <si>
    <t>https://www.diariocordoba.com/noticias/2d-elecciones-andaluzas/pablo-casado-apoya-iglesia-gestione-mezquita-catedral_1264871.html</t>
  </si>
  <si>
    <t>He venido a quejarme. Alérgico al pensamiento único.Te costará convencerme. No aceptes nunca que te digan como tienes que pensar.</t>
  </si>
  <si>
    <t>De verdad, sigo revisando estas declaraciones y es que son para mear y no echar gota. La idiotez avanza a grandes zancadas. “Los españoles no colonizábamos, lo que hacíamos era tener una España más grande”</t>
  </si>
  <si>
    <t>Toñu IGLESIAS</t>
  </si>
  <si>
    <t>Chantal Català</t>
  </si>
  <si>
    <t>Pues esa "otra España", Pablo Casado, también quiso independizarse. ¿No vais a aprender nunca de vuestros errores? La altanería no soluciona nada, lo empeora. RT @eldiarioes: Pablo Casado revisa la Historia de América en la campaña andaluza: "Nosotros no colonizábamos, hacíamos una España más grande"  Lo cuenta @inigoaduriz</t>
  </si>
  <si>
    <t>León Fernando Del Canto — حمزة</t>
  </si>
  <si>
    <t>¿Qué le ocurre a nuestro sistema educativo? Y este señor @pablocasado_ tiene no se cuantos masters "Los españoles no colonizábamos, lo que hacíamos era tener una España más grande"</t>
  </si>
  <si>
    <t>Advocada i doctora en dret. Família, herències, immobiliari, arrendaments, contractes, construcció, hipoteques i IRPF.</t>
  </si>
  <si>
    <t>http://www.catala-advocats.com</t>
  </si>
  <si>
    <t>Aldwych, London</t>
  </si>
  <si>
    <t>Escribo | Abogado | Barrister | Desde Andalucía a Oriente de Ida &amp; Vuelta | Feminismo | Abolicionista | #AbogacíaCrítica #QueTuViajeSeaLargo</t>
  </si>
  <si>
    <t>https://www.huffingtonpost.es/leon-fernando-del-canto-/narrar-la-vida-como-un-viaje_a_22012292/?ncid</t>
  </si>
  <si>
    <t>Mariano Calleja</t>
  </si>
  <si>
    <t>El PP llena su mitin en Algeciras, con Pablo Casado y Juan Manuel Moreno juntos. Según la organización, solo el PP ha llenado el Pabellón Santa Teresa. "Los demás no se han atrevido porque pinchan"</t>
  </si>
  <si>
    <t>Periodista de ABC</t>
  </si>
  <si>
    <t>http://www.abc.es/blogs/calleja/</t>
  </si>
  <si>
    <t>Pilar H. Lucas</t>
  </si>
  <si>
    <t>“Nosotros no colonizábamos, lo que hacíamos era tener una España más grande”. Pablo Casado. Esto es lo que pasa cuando te regalan los títulos y no has cogido un libro en tu puta vida #PabloCasadoPorquéNoTeCallas</t>
  </si>
  <si>
    <t>Las mentiras de @pablocasado_ sobre el golpe, la #Gürtel o la guerra de Irak, por @iescolar. El presidente del @PPopular es un manipulador a la hora d colocar datos falsos o inexactos en cada frase, y hacer falsas acusaciones, crispando así la sociedad.</t>
  </si>
  <si>
    <t>pic.twitter.com/FhpXxKkdGY</t>
  </si>
  <si>
    <t>Siempre he huido de las inercias porque no soporto aburrirme. Continúo buscando la intensidad vital. Confieso que he vivido varias vidas.</t>
  </si>
  <si>
    <t>https://pbs.twimg.com/media/DsR4KrtWsAAfRvn.jpg</t>
  </si>
  <si>
    <t>Llegada de Pablo Casado y Juanma Moreno al mitin de Algeciras, ante más de 1.000 personas, la mayor concurrencia de la campaña, hasta ahora. Juegan en casa: éste es un bastión de los populares, que mantienen la mayoría absoluta desde 2011.</t>
  </si>
  <si>
    <t>pic.twitter.com/mx7K9rvrf3</t>
  </si>
  <si>
    <t>Holly 🇪🇸</t>
  </si>
  <si>
    <t>Editorial de Luis del Pino: "Pablo Casado entrega la Justicia a Pedro Sánchez"</t>
  </si>
  <si>
    <t>http://www.ivoox.com/30134010</t>
  </si>
  <si>
    <t>“Que ladren perros, como dijo Don Quijote a Sancho Panza, es señal de que vamos cabalgando”.</t>
  </si>
  <si>
    <t>Alethia</t>
  </si>
  <si>
    <t>De aquellos tiempos en que España no colonizaba sino que se hacía más grande (versión Pablo Casado)</t>
  </si>
  <si>
    <t>Diario CÓRDOBA</t>
  </si>
  <si>
    <t>#2D @pablocasado_ respalda a la Iglesia en la gestión de la #MezquitaCatedral de #CórdobaEsp</t>
  </si>
  <si>
    <t>https://pbs.twimg.com/media/DsR27jkX4AAQKSV.jpg</t>
  </si>
  <si>
    <t>http://ow.ly/l83T30mETne</t>
  </si>
  <si>
    <t>Cuba-URSS-Euskal Herria: mi recorrido. Mujer COMUNISTA sin afiliación. Incomprable. PP es ultraderecha. Podemos no es izquierda. Añoro la URSS. Palestina libre</t>
  </si>
  <si>
    <t>http://la-protestona.blogspot.com.es/</t>
  </si>
  <si>
    <t>Cuenta oficial de Diario CÓRDOBA. Periódico líder en #Prensa y #Digital de #CórdobaESP. También en Facebook https://www.facebook.com/DiarioCORDOBA.es/</t>
  </si>
  <si>
    <t>http://www.diariocordoba.com</t>
  </si>
  <si>
    <t>Jose Fco Lopez Alias</t>
  </si>
  <si>
    <t>Dr. en Medicina y Cirugia 1987 Especialista en Estomatología 1989 Postgrado de Oclusión Y Rehabilitación Oral1991 Doctorado en Med y Cir UB 1995</t>
  </si>
  <si>
    <t>http://www.clinicadentalglorias.com</t>
  </si>
  <si>
    <t>NOTICIARIO CENTRO</t>
  </si>
  <si>
    <t>Pablo Casado apoya la titularidad de la Iglesia en la Catedral de Córdoba, «tiene que seguir administrado por la Iglesia Católica y Romana»,</t>
  </si>
  <si>
    <t>https://pbs.twimg.com/media/DsR1LN1W0AE49ZA.jpg</t>
  </si>
  <si>
    <t>Andalucia, España, Europa.</t>
  </si>
  <si>
    <t>NOTICIARIO CENTRO DE ANDALUCIA Este es un Wlordpress que se crea para dar cabida a las noticias relacionadas con el Centro de Andalucía.</t>
  </si>
  <si>
    <t>http://noticiariocentrodeandalucia.wordpress.com/</t>
  </si>
  <si>
    <t>Luis Lasala #VOX #RED</t>
  </si>
  <si>
    <t>¿Vamos comprendiendo ya, el porqué miles de votantes del PP, afilados, incluso de las "cúpulas" abandonamos el partido y nos integramos en @vox_es ? Porque @vox_es hoy es lo que se supone debería haber sido el PP: Un partido de "derecha"</t>
  </si>
  <si>
    <t>Artes plásticas. Derecho. Filosofía. Conócete a ti mismo</t>
  </si>
  <si>
    <t>http://luislasala07.blogspot.com</t>
  </si>
  <si>
    <t>Núria Piferrer</t>
  </si>
  <si>
    <t>No es @okdario, no es @eljueves, no es @elmundotoday... Es Pablo Casado... RT @JonInarritu: 😂😂😂👇🏻 Casado: "Los españoles no colonizábamos, lo que hacíamos era tener una España más grande"</t>
  </si>
  <si>
    <t>art, music, design, sustainability, politics, freedom</t>
  </si>
  <si>
    <t>Jordi Brull</t>
  </si>
  <si>
    <t>Casado: “Nosotros no colonizábamos, lo que hacíamos era tener una España más grande” 🤥 @lavanguardia</t>
  </si>
  <si>
    <t>El mundo no está en peligro por las malas personas sino por aquellas que permiten la maldad (Albert Einstein)</t>
  </si>
  <si>
    <t>Juanito Mama</t>
  </si>
  <si>
    <t>Casado piensa como Hitler que, no quería hacer la guerra ni invadir ningún país, lo que quería era hacer "una Alemania más grande”. ¿entienden? @lavanguardia</t>
  </si>
  <si>
    <t>josep turu</t>
  </si>
  <si>
    <t>Pablo #Casado sigue asombrando al mundo académico con sus descubrimientos: la Inquisición tampoco existió, ¡es un invento Del Diablo! #PP #EleccionesAndaluzas #Historia #España @Esparroqui @CiudadanosCs @ahorapodemos @ALTER_info</t>
  </si>
  <si>
    <t>Spain, Pirineos, Huesca</t>
  </si>
  <si>
    <t>Ver, relatar, pensar e imaginar el mundo. Escribir &amp; fotografiar. #fotografía,#literatura,#progreso, #política, #relatos, #novela, #fotografías</t>
  </si>
  <si>
    <t>http://serraniadepalabras.blogspot.com/</t>
  </si>
  <si>
    <t>Ambiente previo al mitin de Pablo Casado y Juanma Moreno en Algeciras. El PP cree que Ciudadanos puede doblar sus resultados de 2015 pero confía en que no habrá sorpasso #EleccionesAndalucia</t>
  </si>
  <si>
    <t>pic.twitter.com/GPH1HIsNVk</t>
  </si>
  <si>
    <t>Re Chou Chío</t>
  </si>
  <si>
    <t>Entón o máster de Harvard-Aravaca era de historia? Casado: "Los españoles no colonizábamos, lo que hacíamos era tener una España más grande"</t>
  </si>
  <si>
    <t>O que non chía non mama.</t>
  </si>
  <si>
    <t>LaCerca noticias CLM</t>
  </si>
  <si>
    <t>#CLM Pablo Casado abrirá el 12 de diciembre el II Congreso Internacional de AFAMMER con una charla sobre libertad e igualdad @mapamagob @anapastorjulian @ONCE_oficial</t>
  </si>
  <si>
    <t>http://www.lacerca.com/noticias/castilla_la_mancha/pablo-casado-12-diciembre-congreso-internacional-afammer-igualdad-445423-1.html</t>
  </si>
  <si>
    <t>📌📢Diario digital multimedia de Castilla-La Mancha. 📡⚡️Noticias, Entrevistas y Reportajes de ▶️ Albacete, Cuenca, Ciudad Real, Guadalajara y Toledo.🙅📸TV online 📺</t>
  </si>
  <si>
    <t>http://www.lacerca.com</t>
  </si>
  <si>
    <t>Gonzalo de M.</t>
  </si>
  <si>
    <t>Pablo Casado empieza a dar vergüenza ajena allá por donde va. Se le nota a la legua que se ha puesto un traje de estadista diez tallas más grande. Sus desvaríos históricos, sus chorradas políticas, sus ínfulas de madurez delatan al sin sustancia que late detrás.</t>
  </si>
  <si>
    <t>Cuando no puedas más, continúa.</t>
  </si>
  <si>
    <t>__dykparatrop__</t>
  </si>
  <si>
    <t>Si fuera por Pablo Casado ganarían menos de 1000€/mes brutos RT @sninobecerra: Terrible, pero esto es porque la productividad es baja debido a que lo es el valor añadido generado. Terrible.</t>
  </si>
  <si>
    <t>https://twitter.com/sninobecerra/status/1063889032004988929
https://www.publico.es/economia/tres-diez-trabajadores-ganan-1230-euros-brutos-mes.html</t>
  </si>
  <si>
    <t>Arroyomolinos,Madrid</t>
  </si>
  <si>
    <t>laicismo.org</t>
  </si>
  <si>
    <t>https://pbs.twimg.com/media/DsRxRfhWwAETlN0.jpg</t>
  </si>
  <si>
    <t>El Observatorio de la Laicidad es una entidad mantenida por la Asociación Europa Laica, que se financia sólo con las cuotas de personas asociadas y donaciones.</t>
  </si>
  <si>
    <t>http://laicismo.org</t>
  </si>
  <si>
    <t>Miguel 71</t>
  </si>
  <si>
    <t>Que dice Suárez Illana? Idioteces. Pablo Casado se está rodeando de gente mas imbecil que él: En el reino de los ciegos el tuerto es el rey</t>
  </si>
  <si>
    <t>Villa Té Empujo</t>
  </si>
  <si>
    <t>Con ganas de una sociedad mas justa. Lo importante las personas. El dinero para bancos y políticos corruptos no se termina nunca @LibresOpinamos</t>
  </si>
  <si>
    <t>Una cosa es "ser patriota" a toda costa y otra ser ignorante y mentiroso al mismo tiempo</t>
  </si>
  <si>
    <t>Cándido Ruiz</t>
  </si>
  <si>
    <t>La manía que tienen algunos de reinventar la historia. O eres un analfabeto o es que te la suda todo, @pablocasado_</t>
  </si>
  <si>
    <t>https://www.huffingtonpost.es/2018/11/17/pablo-casado-los-espanoles-no-colonizabamos-lo-que-haciamos-era-tener-una-espana-mas-grande_a_23592393/?utm_hp_ref=es-homepage</t>
  </si>
  <si>
    <t>Periodista. Hoy, ayer y siempre. Mi opinión es mía, por eso es tan simple, y complicada, como la lees... Un verso libre que, a veces rima y a veces chirría...</t>
  </si>
  <si>
    <t>http://lascosasdecandido.wordpress.com/</t>
  </si>
  <si>
    <t>DADDY MOU ®</t>
  </si>
  <si>
    <t>Hay que repetir como si no hubiera un mañana que el "renovado" PP de Pablo Casado va a entregar la justicia a Podemos y la extrema izquierda. Lo digo para que lo tengan en cuenta, aunque me temo que a su votante acérrimo le importa un pepino ser escupido una y otra vez.</t>
  </si>
  <si>
    <t>Madridista y Mourinhista. Hala Madrid y nada más!. 'Lo que piensen de mi, no es asunto mío' (Wayne Dyer)</t>
  </si>
  <si>
    <t>casado cada día se supera así mismo en decir gilipolleces Casado: "Los españoles no colonizábamos, lo que hacíamos era tener una España más grande"</t>
  </si>
  <si>
    <t>Juan Pablo Arriaga Cuevas</t>
  </si>
  <si>
    <t>Hoy asistimos a la visita de Pablo Casado y Juanma Moreno en Algeciras #elecciones #Andalucía #PP #2D #Comarca</t>
  </si>
  <si>
    <t>https://pbs.twimg.com/media/DsRuE-gWwAIx3wM.jpg</t>
  </si>
  <si>
    <t>Domingo de trabajo. Ya vamos camino de #Algeciras, Pablo Casado, @pablocasado_ tiene un acto de campaña en la ciudad gaditana. A las 15.00 horas, os lo contamos hoy en @noticias_cuatro</t>
  </si>
  <si>
    <t>La Línea de la Concepción</t>
  </si>
  <si>
    <t>Candidato a la Alcaldía de La Línea por el Partido Popular</t>
  </si>
  <si>
    <t>http://www.arriagacuevas.es</t>
  </si>
  <si>
    <t>"La madre patria es como nos llaman en Colombia, en Argentina, en Chile. Y lo dicen con cariño, ¡además!"</t>
  </si>
  <si>
    <t>Gorila en BsAs</t>
  </si>
  <si>
    <t>Ciudad Autónoma de Bs As</t>
  </si>
  <si>
    <t>En Argentina desde hace 14 años . Siempre Español,Gallego y de Vigo por este orden. Me importa un carajo no ser políticamente correcto aquí y en España.</t>
  </si>
  <si>
    <t>La nueva metedura de pata de Pablo Casado: "nadie habla bable en Asturias". Así ha respondido Twitter</t>
  </si>
  <si>
    <t>https://www.lapandereta.es/la-nueva-metedura-de-pata-de-pablo-casado-nadie-habla-bable-en-asturias-asi-ha-respondido-twitter/</t>
  </si>
  <si>
    <t>Luis M. Blanc</t>
  </si>
  <si>
    <t>🇪🇸💚💙Pablo Casado llama a concentrar en el PP todo el voto útil de la derecha para arrebatar Andalucía al PSOE #VotaGarantiaDeCambio #VotaPP</t>
  </si>
  <si>
    <t>https://okdiario.com/espana/andalucia/2018/11/18/casado-llama-concentrar-pp-todo-voto-util-derecha-arrebatar-andalucia-psoe-3363474#.W_E3TS_DIkM.twitter</t>
  </si>
  <si>
    <t>Armando</t>
  </si>
  <si>
    <t>Casado: "Los españoles no colonizábamos, lo que hacíamos era tener una España más grande"  @pablocasado_ también Máster en historia por la universidad Don Juan Carlos</t>
  </si>
  <si>
    <t>((salvatross)) 🎗</t>
  </si>
  <si>
    <t>Trumpito I de Una Grande y Libre, El Miserable.</t>
  </si>
  <si>
    <t>Fins als ous de tot plegat</t>
  </si>
  <si>
    <t>República de Catalunya i Aran</t>
  </si>
  <si>
    <t>Ni Deus ni patries. La terra i les seves cultures i pobles. Live long and prosper.</t>
  </si>
  <si>
    <t>Miguel.A.Coscorrotza</t>
  </si>
  <si>
    <t>El ‘Alea iacta est’ de Pablo Casado  vía @voz_opinion @golorico @GabrielaBustelo @CFDEPEDRO @MJesusCalderon @Mister_Pentland @MendiMendi1 Estupendo artículo</t>
  </si>
  <si>
    <t>Roger Gaset</t>
  </si>
  <si>
    <t>Si ahora por llevar una prenda amarilla te llaman de todo, no me quiero imaginar lo que paso haciendo turismo por America.</t>
  </si>
  <si>
    <t>Crec que Homo Sapiens i Account Manager Telefonica Moviles. El que mes m'agrada : fer Pati. Creador del #AmbTuTito,que va inspirar el títol d'un llibre.</t>
  </si>
  <si>
    <t>Mago don Andrés</t>
  </si>
  <si>
    <t>Lo de Pablo Casado es como cuando Ortega Smith dijo que los franquistas fusilaban con amor, sin odio y desde el cariño</t>
  </si>
  <si>
    <t xml:space="preserve">En la suela de tu zapato </t>
  </si>
  <si>
    <t>Estudiante de 3° del grado de Química de la UCLM. Republicano. Metal</t>
  </si>
  <si>
    <t>Ruthie MigMig</t>
  </si>
  <si>
    <t>Pablo Casado aparte del máster, también se saltó Primaria. RT @sextaNoticias: VÍDEO | Pablo Casado: "Nosotros no colonizábamos, lo que hacíamos era tener una España más grande"</t>
  </si>
  <si>
    <t>https://twitter.com/sextaNoticias/status/1063849597519495168
http://atres.red/p7u8v4</t>
  </si>
  <si>
    <t>Futura abogada de esas que cobran mucho.</t>
  </si>
  <si>
    <t>Miguel Martínez</t>
  </si>
  <si>
    <t>La verdad es que esta jugada, anteponiendo los arreglos en justicia antes de unas elecciones tal y como es debido, requiere una explicación por parte de Casado Pablo Casado entrega la Justicia a Pedro Sánchez, por @ldpsincomplejos  vía @libertaddigital</t>
  </si>
  <si>
    <t>María de la OMG! 🏳️‍🌈</t>
  </si>
  <si>
    <t>Lugares donde Pablo Casado no ha dicho ninguna tontería.</t>
  </si>
  <si>
    <t>https://pbs.twimg.com/media/DsRpTg6WwAEKacw.jpg</t>
  </si>
  <si>
    <t>No Name, CO</t>
  </si>
  <si>
    <t>Por favor, no leas mi bio.</t>
  </si>
  <si>
    <t>No fuimos a conolizar,fuimos alli por que no teniamos ni puta idea de a donde ibamos... como mi partido. Pablo Casado...no sabe donde va.</t>
  </si>
  <si>
    <t>https://pbs.twimg.com/media/DsRNq9AX4AA1DdI.jpg</t>
  </si>
  <si>
    <t>Navarra, Comunidad Foral de Na</t>
  </si>
  <si>
    <t>No pierdo el tiempo discutiendo con fascistas.FUERA CORRUPTOS DE LAS INSTITUCIONES. Solo aspiro a parecerme a la voz de mi conciencia....😇</t>
  </si>
  <si>
    <t>https://pbs.twimg.com/media/DsRn4GOXgAE__vc.jpg</t>
  </si>
  <si>
    <t>"Ni España tuvo Colonias, ni el Partido Popular Caja B". Pablo Casado Blanco. Revisionista.</t>
  </si>
  <si>
    <t>VIDEOLUC TV</t>
  </si>
  <si>
    <t>Pablo Casado aboga en Lucena por un cambio en la Junta “que sólo garantiza el PP”</t>
  </si>
  <si>
    <t>https://www.facebook.com/note.php?note_id=2060926653970327</t>
  </si>
  <si>
    <t>Lucena</t>
  </si>
  <si>
    <t>VIDEOLUC S.A. TELEVISIÓN LOCAL DE LUCENA Comienzos Marzo del 1987 Plaza de España, nº 15 - Tlf. 957 50 14 53</t>
  </si>
  <si>
    <t>Fernando Pablos Romo</t>
  </si>
  <si>
    <t>Dejo los jóvenes de las NNGG del PP de Salamanca, que me siguen con mucha atención, que califiquen quizá la mayor tontería que he leído en toda mi vida. La dijo ayer su “líder” Pablo Casado. Leed 👇</t>
  </si>
  <si>
    <t>https://pbs.twimg.com/media/DsRnJcEXQAACIWf.jpg</t>
  </si>
  <si>
    <t>Profesor Titular de Álgebra de la Universidad de Salamanca. Secretario General del PSOE de Salamanca. En esta cuenta solo escribo yo.</t>
  </si>
  <si>
    <t>rÒCamadour🎗</t>
  </si>
  <si>
    <t>Resum de la intervenció de J.M. Lassalle al #FAQSparaiguaTV3: Lassalle: Los independentistas son populistas, nacionalistas y están movidos más por los sentimientos que por la razón. Laura Rosel: ¿Pablo Casado no es nacionalista? Lassalle: No estoy aquí para poner etiquetas.</t>
  </si>
  <si>
    <t>A vegades des de la lògia negra.</t>
  </si>
  <si>
    <t>Fill de la Maga i misòfon.</t>
  </si>
  <si>
    <t>Ramón Fernández</t>
  </si>
  <si>
    <t>Era de esperar viniendo de tan insigne "historiador". Pablo Casado apoya que la Iglesia gestione la Mezquita-Catedral  vía @cordoba</t>
  </si>
  <si>
    <t>Córdoba, Spain</t>
  </si>
  <si>
    <t>Europeo de Cádiz, emigrante en Córdoba hace ya 15 años. Arqueólogo. Comprometido. Lector. Viajero. Apasionado. Y ahora, sobre todo, padre.</t>
  </si>
  <si>
    <t>Ànec Emprenyat</t>
  </si>
  <si>
    <t>Los musulmanes no invadieron Andalucia.....hacian mas grande el Islam #NoSePuedeSerMasTonto</t>
  </si>
  <si>
    <t>CATALÀ EMPRENYAT ........................ VISC - A - CATALUNYA..........LLIURE</t>
  </si>
  <si>
    <t>"Fuimos la primera nación que venía de un imperio que llamábamos "españoles" a aquellos que formamos parte de las colonias"</t>
  </si>
  <si>
    <t>Pablo Casado no se levanta tarde los domingos, hace los sábados más grandes.</t>
  </si>
  <si>
    <t>Libertarian nest🇪🇸</t>
  </si>
  <si>
    <t>Español y, por ello, liberal austriaco e iberista. Vida, libertad y propiedad. Socio fundador del @clubdeviernes No me sigas para que te siga.</t>
  </si>
  <si>
    <t>Julián Bustelo Abuín</t>
  </si>
  <si>
    <t>Xa sabíamos que a Pablo Casado lle regalaron a carreira, mais eu empezo a dubidar da súa escolarización.</t>
  </si>
  <si>
    <t>https://youtu.be/aaJ2teDpg8A</t>
  </si>
  <si>
    <t>PhD student in @gepnusc. Applying #GIS and #RStats to archaeology.</t>
  </si>
  <si>
    <t>igor_ #AltsasukoakAske</t>
  </si>
  <si>
    <t>Todo el mundo sabe que la palabra colonizar viene del árabe y significa tener el ano grande. Casado: "Los españoles no colonizábamos, lo que hacíamos era tener una España más grande"</t>
  </si>
  <si>
    <t>Marc Mundet</t>
  </si>
  <si>
    <t>Un exemple pràctic de Negacionisme. Casado: "Los españoles no colonizábamos, lo que hacíamos era tener una España más grande"</t>
  </si>
  <si>
    <t>Journalist-RAC1. BCN-GRN-SCF. Basketball activist. Alumni @fcomunav. Premi Periodisme Esportiu 2016 (Ràdio) - Fundació Bàsquet Català @FCBQ</t>
  </si>
  <si>
    <t>http://Instagram.com/marcmundet1978</t>
  </si>
  <si>
    <t>Luis F. Camarero Gea</t>
  </si>
  <si>
    <t>Consultor Informático de gestión documental actualmente Jubilado, preocupado por la evolución de la Sociedad y amante del Turismo.</t>
  </si>
  <si>
    <t>Julieta Lionetti</t>
  </si>
  <si>
    <t>Cuando se te atraganta la tostada del desayuno dominguero - Casado: “Nosotros no colonizábamos, lo que hacíamos era tener una España más grande” @lavanguardia</t>
  </si>
  <si>
    <t>Escribo, edito y asesoro. Todo esto es solo una excusa para seguir leyendo.</t>
  </si>
  <si>
    <t>http://librosenlanube.blogspot.com</t>
  </si>
  <si>
    <t>Pablo Casado lleva 4 meses como presidente del PP pero eso da igual, cuando lleve 4 años seguirán usando de excusa a Rajoy con tal de no reconocer que la han pifiado con él RT @carmencarbo: Aquí, el artículo de Federico Jiménez Losantos de hoy: "El misterio del suicidio de Casado con el veneno de Rajoy"  vía @libertaddigital '¿Qué ha llevado a @pablocasado_ a suicidarse con el veneno de #Rajoy? No lo sé y no conozco a nadie que lo sepa' #PP</t>
  </si>
  <si>
    <t>https://twitter.com/carmencarbo/status/1064061125711601665
https://www.libertaddigital.com/opinion/federico-jimenez-losantos/el-misterio-del-suicidio-de-casado-con-el-veneno-de-rajoy-86505/</t>
  </si>
  <si>
    <t>#FelizDomingo a Tod@s Excepto al Cínico de Pablo Casado y su Intención casi Enfermiza de Revisar la Historia. En este Vídeo Digno de El Club de la Comedia, el Cara Dura esté lo Intenta de Nuevo para Ocultar la Historia Corrupta de su Partido... 🤢🤢🤮🤮🤮</t>
  </si>
  <si>
    <t>pic.twitter.com/1MY9IqUtXQ</t>
  </si>
  <si>
    <t>Juan Luis</t>
  </si>
  <si>
    <t>El ‘Alea iacta est’ de Pablo Casado  vía @voz_opinion @VidalQuadras</t>
  </si>
  <si>
    <t>Granada / Marmolejo (Spain)</t>
  </si>
  <si>
    <t>Ciencia, Investigación, Universidad ....y también economía en mis ratos libres.</t>
  </si>
  <si>
    <t>http://master-colourscience.eu/programme/who-are-we/</t>
  </si>
  <si>
    <t>Direct Travel</t>
  </si>
  <si>
    <t>Pablo Casado entrega la Justicia a la IZQUIERDA #VotaVOX ..  vía @libertaddigital</t>
  </si>
  <si>
    <t>will not find better service at any site</t>
  </si>
  <si>
    <t>http://www.directtravel.es</t>
  </si>
  <si>
    <t>Pablo Casado, en Andalucía, sobre Pedro ZpSánchez: "Ahora es un Gobierno zombi, muerto, que deambula sin saber que ha muerto, insostenible, que ya no tiene futuro, y lo saben".</t>
  </si>
  <si>
    <t>Gonzalo Torre</t>
  </si>
  <si>
    <t>No contentos con dar clases de historia, el PP de Pablo Casado saca el master de periodismo "español" para este curso. ¡Plazas limitadas, corred a apuntaros! Pd: Hay beca para los afiliados a NNGG RT @IdiazAyuso: ¿Acaso esto no es cierto? ¿No hacíamos un país más grande y formábamos parte de las mayores gestas que ha logrado la historia occidental? ¿Qué clase de periodismo “español” es este?</t>
  </si>
  <si>
    <t>Ingeniero que perdio el ingenio. Arriesgado prevencionista.Viajero estático y coleccionista de lesiones deportivas.</t>
  </si>
  <si>
    <t>Francisco Esteban</t>
  </si>
  <si>
    <t>Se van superando, entre esta señora y Pablo Casado diciendo q españa no ha colonizado nunca, ya tenemos cupo de humor negro dominical cubierto. Por favor. RT @juandepca: Los neoliberales consideran el aumento de la esperanza de vida como un problema y no como un avance civilizatorio. Por eso mismo les tenemos que dar la jubilación forzosa; o si no... que prediquen con el ejemplo y se mueran jóvenes</t>
  </si>
  <si>
    <t>https://twitter.com/juandepca/status/1063573187957612545</t>
  </si>
  <si>
    <t>https://pbs.twimg.com/media/DsKSK_fW0AUNkrj.jpg</t>
  </si>
  <si>
    <t>L'Hospitalet, Barcelona</t>
  </si>
  <si>
    <t>Consultor, formador i gestor de projectes, intentant contribuir a la transformación social des de la cooperativa Tarpuna. #procurantgaudirdeltrajecte</t>
  </si>
  <si>
    <t>http://francisco-esteban.com</t>
  </si>
  <si>
    <t>Alguien que le dé un golpecito en la espalda a Pablo Casado, que se le ha quedado atascado el discurso en el siglo XVI.</t>
  </si>
  <si>
    <t>Mi columna dominical en Voz Populi El "Alia iacta est" de Pablo Casado</t>
  </si>
  <si>
    <t>The Catalan Analyst</t>
  </si>
  <si>
    <t>¿Qué ha llevado a Pablo Casado a suicidarse con el veneno de Rajoy?  vía @libertaddigital</t>
  </si>
  <si>
    <t>Barcelona, Cataluña, España, U</t>
  </si>
  <si>
    <t>Donde es posible decir lo que se quiere, nadie hace el esfuerzo de decir solo lo que importa' | N.G. Dávila</t>
  </si>
  <si>
    <t>http://catalananalyst.blogspot.com.es</t>
  </si>
  <si>
    <t>Jaume Pros</t>
  </si>
  <si>
    <t>Mátame, camión.</t>
  </si>
  <si>
    <t>Gestiono cultura i comunico. @elvallenc. A @HIT103FM condueixo el programa @Dhit103. #RàdioCiutatDeValls. Premi Nacional El Vallenc 2016. Opinions personals.</t>
  </si>
  <si>
    <t>http://www.elvallenc.cat/autor/jaume-pros/</t>
  </si>
  <si>
    <t>Javier Lamas</t>
  </si>
  <si>
    <t>Llegó, vio y se rindió. 'Pablo Casado entrega la Justicia a Pedro Sánchez', por @ldpsincomplejos  vía @libertaddigital</t>
  </si>
  <si>
    <t>Cuando el relativismo moral se absolutiza en nombre de la tolerancia, los derechos básicos se relativizan y se abre la puerta al totalitarismo. Benedicto XVI</t>
  </si>
  <si>
    <t>Mr Equidistanovic</t>
  </si>
  <si>
    <t>Ni matábanos indios, les acompañábamos a su otra vida. Tampoco les cortábamos la cabeza, desconectábamos su cuello de los hombros.</t>
  </si>
  <si>
    <t>https://www.lavanguardia.com/politica/20181117/452992780484/pablo-casado-espana-no-colonizaba-tener-espana-mas-grande.html?utm_campaign=botones_sociales_app&amp;utm_source=twitter&amp;utm_medium=social</t>
  </si>
  <si>
    <t>Espanhol la necedad mata🎗</t>
  </si>
  <si>
    <t>Científicos españoles descubren el segundo planeta más cercano al Sistema Solar se llamará “Pablo Casado” “Hasta el infinito y más allá” #FelizDimingo  RT @eldiarioes: Pablo Casado revisa la Historia de América en la campaña andaluza: "Nosotros no colonizábamos, hacíamos una España más grande"  Lo cuenta @inigoaduriz</t>
  </si>
  <si>
    <t>https://www.antena3.com/noticias/ciencia/cientificos-espanoles-descubren-segundo-planeta-mas-cercano-sistema-solar_201811145bec81b10cf2e828bc646958.html
https://twitter.com/eldiarioes/status/1063776742714822656
https://www.eldiario.es/politica/Casado-Historia-colonizabamos-haciamos-Espana_0_836766521.html</t>
  </si>
  <si>
    <t>El mundo está lleno de idiotas y muchos con derecho a voto. Cada quién se engaña con la mentira que más le gusta.</t>
  </si>
  <si>
    <t>https://m.facebook.com/lavhl/</t>
  </si>
  <si>
    <t>Mad Hatter</t>
  </si>
  <si>
    <t>Gracias Pablo Casado, yo pensé que mis antepasados habían sido colonizados, pero no, es que formaban parte de ese hacer más grande a España. ¿Qué coño me están enseñando en la carrera? RT @ElHuffPost: Pablo Casado: "Los españoles no colonizábamos, lo que hacíamos era tener una España más grande"</t>
  </si>
  <si>
    <t>Lugo, España</t>
  </si>
  <si>
    <t>19. «Somos as fillas das bruxas que non puidestes queimar» Feminista | LG(B)T| Estudiante de Historia</t>
  </si>
  <si>
    <t>http://wp.me/p7ozvv-J</t>
  </si>
  <si>
    <t>Albert Castellón</t>
  </si>
  <si>
    <t>Los nazis no invadian, lo que querian era hacer un Reich más grande. Lo llamaban Lebensraum, cretino</t>
  </si>
  <si>
    <t>Emprenedor. Consultor. Enamorat de Catalunya</t>
  </si>
  <si>
    <t>http://www.bottomup.cat</t>
  </si>
  <si>
    <t>FRANCISCO FLORES</t>
  </si>
  <si>
    <t>El Sur espinoso de Pablo Casado - Málaga Actualidad</t>
  </si>
  <si>
    <t>http://malagactualidad.es/item/20273-el-sur-espinoso-de-pablo-casado.html</t>
  </si>
  <si>
    <t>Me explico por la curiosidad, me encelan la amistad y el conocimiento y mantengo mis convicciones con la vital certeza de la duda.</t>
  </si>
  <si>
    <t>http://page.is/francisco-flores</t>
  </si>
  <si>
    <t>Joan man</t>
  </si>
  <si>
    <t>Pablo Casado revisa la Historia de América en la campaña andaluza: "Nosotros no colonizábamos, hacíamos una España más grande"  Lo cuenta @inigoaduriz</t>
  </si>
  <si>
    <t>tarraco imperial  . cat</t>
  </si>
  <si>
    <t>soy una pura paradoja , lo que menos tolero es la intolerancia , donec perficiam.</t>
  </si>
  <si>
    <t>The Passenger</t>
  </si>
  <si>
    <t>Pablo Casado se hace pajas con El Imperio contraataca de Los Nikis.</t>
  </si>
  <si>
    <t>Aterrizador. Ex-militar ex-menorquín. Castefando.</t>
  </si>
  <si>
    <t>Koldo CF</t>
  </si>
  <si>
    <t>Hitler no invadía. Lo que hacia era tener una Alemania más grande. Buenos días</t>
  </si>
  <si>
    <t>https://m.huffingtonpost.es/amp/2018/11/17/pablo-casado-los-espanoles-no-colonizabamos-lo-que-haciamos-era-tener-una-espana-mas-grande_a_23592393/</t>
  </si>
  <si>
    <t>Da igual. Prueba otra vez. Fracasa otra vez. Fracasa mejor</t>
  </si>
  <si>
    <t>Luis García</t>
  </si>
  <si>
    <t>"Ante Dios y el mundo, el más fuerte tiene el derecho de hacer prevalecer su voluntad” - Adolf Hitler, 1939. "Nosotros no colonizábamos, hacíamos una España más grande". - Pablo Casado, 2018.  vía @eldiarioes</t>
  </si>
  <si>
    <t>https://m.eldiario.es/_31e00b39</t>
  </si>
  <si>
    <t>Puerto de la Cruz</t>
  </si>
  <si>
    <t>2018-11-17 Constitución de 1812  La España de los dos hemisferios  Pablo Casado revisa la Historia de América: "Nosotros no colonizábamos, hacíamos una España más grande"</t>
  </si>
  <si>
    <t>http://www.congreso.es/constitucion/ficheros/historicas/cons_1812.pdf
http://revista.raha.es/17_ingreso03.pdf
https://www.eldiario.es/politica/Casado-Historia-colonizabamos-haciamos-Espana_0_836766521.html</t>
  </si>
  <si>
    <t>Libertad, igualdad, unidad, diversidad, autogobierno y gobierno compartido. En concreto: Federalismo plurinacional. Con tiempo, la utopía es realidad</t>
  </si>
  <si>
    <t>Antoni Compta</t>
  </si>
  <si>
    <t>Le falta algún máster para la colección. Casado: "Los españoles no colonizábamos, lo que hacíamos era tener una España más grande"</t>
  </si>
  <si>
    <t>Baix Ampordà, CATALUNYA</t>
  </si>
  <si>
    <t>Viu i deixa viure.</t>
  </si>
  <si>
    <t>GioR 🎗</t>
  </si>
  <si>
    <t>Qui di grande c'è solo il vuoto nel cervello di quest'uomo. #vergogna Casado: "Los españoles no colonizábamos, lo que hacíamos era tener una España más grande"</t>
  </si>
  <si>
    <t>Monfestino di Serramazzoni</t>
  </si>
  <si>
    <t>I am The one Who Run.</t>
  </si>
  <si>
    <t>Pablo Casado, al PSOE de Córdoba: "Solo quieren cambiar nombres de calles y cambiar titularidades de iglesias"</t>
  </si>
  <si>
    <t>http://cadenaser.com/emisora/2018/11/17/radio_cordoba/1542480527_927669.html#?ref=rss&amp;format=simple&amp;link=link</t>
  </si>
  <si>
    <t>José A. Gómez-Raggio</t>
  </si>
  <si>
    <t>Queda alguien con sentido común en @PPopular ? Que explicación tiene esta entrega ? Pablo Casado entrega la Justicia a Pedro Sánchez, por @ldpsincomplejos  vía @libertaddigital</t>
  </si>
  <si>
    <t>Abogado. Archicofrade del Paso y la Esperanza. Buscador de Cronopios.</t>
  </si>
  <si>
    <t>javier.</t>
  </si>
  <si>
    <t>El gobierno del presidente okupa da por rotas cualquier relación con Pablo Casado, hasta que toca repartirse los jueces a dedo. Pero ya sabemos que sus votantes tienen tragaderas para eso y mucho mas. Incluso para comerse doblado un gobierno apoyado por los enemigos de España.</t>
  </si>
  <si>
    <t>https://pbs.twimg.com/media/DsRSJuzXoAA59O1.jpg</t>
  </si>
  <si>
    <t xml:space="preserve">Tabarnia central. </t>
  </si>
  <si>
    <t>Catalán y español,resistiendo al adoctrinamiento del nacionalismo catalán que solo busca una sociedad aborregada para mantener su estatus.</t>
  </si>
  <si>
    <t>Lluís Brunet</t>
  </si>
  <si>
    <t>És tonto, ho fa veure, o el master que va fer a la "Univesidad Juan Carlos Palito" l'hi va donar aquest nivell? hacíamos era tener una España más grande"</t>
  </si>
  <si>
    <t>https://www.huffingtonpost.es/2018/11/17/pablo-casado-los-espanoles-no-colonizabamos-lo-que-haciamos-era-tener-una-espana-mas-grande_a_23592393/?ncid=other_twitter_cooo9wqtham&amp;utm_campaign=share_twitterhac</t>
  </si>
  <si>
    <t>Països Catalans</t>
  </si>
  <si>
    <t>Lluís Brunet fotògraf traficant d'imatges i ètica</t>
  </si>
  <si>
    <t>http://www.lluisbrunet.cat</t>
  </si>
  <si>
    <t>Ruth Galve</t>
  </si>
  <si>
    <t>Y libre. Casado: "Los españoles no colonizábamos, lo que hacíamos era tener una España más grande"</t>
  </si>
  <si>
    <t>Guillermo Gortázar</t>
  </si>
  <si>
    <t>El ‘Alea iacta est’ de Pablo Casado</t>
  </si>
  <si>
    <t>www,guillermogortazar.es</t>
  </si>
  <si>
    <t>Historiador y abogado. Con los sofistas. Eran los políticamente incorrectos de su época. Decían verdades como puños. Ver pag. web: http://www.guillermogortazar.es</t>
  </si>
  <si>
    <t>https://www.almendron.com/tribuna/?s=Guillermo+Gort%C3%A1zar</t>
  </si>
  <si>
    <t>Cosas q se te ocurren por no ir a clase</t>
  </si>
  <si>
    <t>Rogerdaflor</t>
  </si>
  <si>
    <t>Casado: Lo del CGPJ le ha segado la hierba bajo los pies. El ‘Alea iacta est’ de Pablo Casado  vía @voz_opinion</t>
  </si>
  <si>
    <t>Desde la infancia he sido un buscador de la Verdad. No me interesa el mundo más que como un medio para viajar hacia ella.</t>
  </si>
  <si>
    <t>José García</t>
  </si>
  <si>
    <t>Pablo Casado: "Los españoles no colonizábamos, lo que hacíamos era tener una España más grande" Como la avispa asiática, oye</t>
  </si>
  <si>
    <t>OURENSE</t>
  </si>
  <si>
    <t>Trabajo en el SERVICIO GALEGO DE SAUDE (En lo que queda de él) Formo parte de colectivos en defensa de la sanidad y servicios públicos</t>
  </si>
  <si>
    <t>juan herrero eraso</t>
  </si>
  <si>
    <t>¿Qué ha llevado a Pablo Casado a suicidarse con el veneno de Rajoy? No lo sé y no conozco a nadie que lo sepa</t>
  </si>
  <si>
    <t>https://www.libertaddigital.com/opinion/federico-jimenez-losantos/el-misterio-del-suicidio-de-casado-con-el-veneno-de-rajoy-86505/?utm_source=dlvr.it&amp;utm_medium=twitter</t>
  </si>
  <si>
    <t>La foto del perfil no es la mia , es la del padre Pio</t>
  </si>
  <si>
    <t>Pablo-Mtnez-Calleja</t>
  </si>
  <si>
    <t>Quién diría que Casado, con varios siglos a la espalda, se conserve tan barbilampiño...</t>
  </si>
  <si>
    <t>Periodismo: la pasión por contar.</t>
  </si>
  <si>
    <t>http://pablomartinezcalleja.blogspot.de</t>
  </si>
  <si>
    <t>gorka</t>
  </si>
  <si>
    <t>Lo de este tio es de vergüenza ajena</t>
  </si>
  <si>
    <t>Disneylandia del pintxo</t>
  </si>
  <si>
    <t>“The possibilities the ollie brought were so exciting that it was hard to sleep sometimes” Natas Kaupas</t>
  </si>
  <si>
    <t>http://hankerkizia.tumblr.com</t>
  </si>
  <si>
    <t>Carmelo Molina Sánch</t>
  </si>
  <si>
    <t>Tengo una tienda donde solamente vendo banderas españolas. Gracias Pablo Casado, gracias Albert Rivera, gracias Abascal, gracias Arrimadas.</t>
  </si>
  <si>
    <t>Isabel Torres, mujer de Pablo Casado: de Elche, profesora y nieta del «rey de los caramelos»</t>
  </si>
  <si>
    <t>https://www.lasprovincias.es/politica/isabel-torres-mujer-pablo-casado-20180721183300-nt.html</t>
  </si>
  <si>
    <t>Jordi Pedragosa</t>
  </si>
  <si>
    <t>Y despues hay quien se cree que son sinonimos......</t>
  </si>
  <si>
    <t>Vilafranca del Penedes</t>
  </si>
  <si>
    <t>Community Manager titulado de la UOC</t>
  </si>
  <si>
    <t>Cagunlolla</t>
  </si>
  <si>
    <t>Pensava q allò de un plato es un plato y un vaso es un vaso seria insuperable. Sembla q rieurem....</t>
  </si>
  <si>
    <t>🤘🤘🤘</t>
  </si>
  <si>
    <t>Josep cendra marco</t>
  </si>
  <si>
    <t>Madre mia este no aprobó ni la EGB...LA SEXTA TV - NOTICIAS | Pablo Casado se apunta al revisionismo histórico: "Nosotros no colonizábamos, lo que hacíamos era tener una España más grande"</t>
  </si>
  <si>
    <t>Se</t>
  </si>
  <si>
    <t>Iñigo Subiza🎗🎗</t>
  </si>
  <si>
    <t>Pablo Casado (PP):”Los españoles no colonizábamos, lo que hacíamos era tener una España más grande"</t>
  </si>
  <si>
    <t>https://pbs.twimg.com/media/DsRFLe5XcAA3-0O.jpg</t>
  </si>
  <si>
    <t xml:space="preserve">Iruñea Cataluña </t>
  </si>
  <si>
    <t>educador social-gizarte hezitzailea en proces, Feminista Eros,thánatos, hipnos... desasosiego.</t>
  </si>
  <si>
    <t>Susana Ulukai</t>
  </si>
  <si>
    <t>Este es el GRAN CAMBIO que trae Pablo Casado: otra vez Juanma Moreno para las andaluzas. Un tipo que en cuatro años no se le ha oído decir ni mu y mirad en elecciones lo gallito que se pone. ¡Anda y vete a picotear a otra parte!, ¡PAPAFRITA! RT @COPE: .@JuanMa_Moreno: “Detrás de @vox_es hay un voto un poco antisistema. Es arriesgarse a que sea un voto inútil, que no sirva de nada, que impida el cambio en Andalucía”</t>
  </si>
  <si>
    <t>https://twitter.com/COPE/status/1063737360762974213
http://ww.cope.es/c64si3</t>
  </si>
  <si>
    <t>Humana, puedo equivocarme. Liberal. Justiciera. Sincera y sin paños calientes (sensibleros ABSTENERSE). Contesto argumentos, bloqueo insultos. Unga Unga Army.</t>
  </si>
  <si>
    <t>Bob Magnitud</t>
  </si>
  <si>
    <t>Lo de América y la colonización es, probablemente, la única verdad que ha dicho el mamarracho de Pablo Casado desde que preside el PP.</t>
  </si>
  <si>
    <t>I’ve been everywhere</t>
  </si>
  <si>
    <t>Bot polifacético, estupefacto y quijotesco. Jugué al fútbol con Bob Marley.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</si>
</sst>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d&quot; de &quot;mmmm&quot; de &quot;yyyy"/>
  </numFmts>
  <fonts count="10">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7"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xf>
    <xf numFmtId="0" fontId="8" fillId="0" borderId="0" xfId="0" applyFont="1" applyAlignment="1">
      <alignment vertical="center"/>
    </xf>
    <xf numFmtId="0" fontId="3" fillId="0" borderId="0" xfId="0" quotePrefix="1" applyFont="1" applyAlignment="1">
      <alignment vertical="center" wrapText="1"/>
    </xf>
    <xf numFmtId="0" fontId="3" fillId="0" borderId="0" xfId="0" applyFont="1" applyAlignment="1">
      <alignment vertical="center"/>
    </xf>
    <xf numFmtId="14"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164" fontId="3" fillId="0" borderId="0" xfId="0" applyNumberFormat="1" applyFont="1" applyAlignment="1">
      <alignment horizontal="center" vertical="center"/>
    </xf>
    <xf numFmtId="165" fontId="3" fillId="0" borderId="0" xfId="0" applyNumberFormat="1" applyFont="1" applyAlignment="1">
      <alignment horizontal="left" vertical="center" wrapText="1"/>
    </xf>
    <xf numFmtId="0" fontId="3" fillId="0" borderId="0" xfId="0" quotePrefix="1" applyFont="1" applyAlignment="1">
      <alignment horizontal="left" vertical="center" wrapText="1"/>
    </xf>
    <xf numFmtId="0" fontId="3" fillId="0" borderId="0" xfId="0" quotePrefix="1" applyFont="1" applyAlignment="1">
      <alignment horizontal="left" vertical="center"/>
    </xf>
    <xf numFmtId="0" fontId="9" fillId="0" borderId="0" xfId="0" applyFont="1" applyAlignment="1">
      <alignment horizontal="left" vertical="center" wrapText="1"/>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pbs.twimg.com/media/DscyJtsXQAIfTLo.jpg" TargetMode="External"/><Relationship Id="rId1827" Type="http://schemas.openxmlformats.org/officeDocument/2006/relationships/hyperlink" Target="https://www.lasexta.com/noticias/nacional/elecciones-andalucia/gibraltar-espanol-el-mantra-de-pablo-casado-en-la-campana-para-las-elecciones-de-andalucia-2018-video_201811185bf16cd80cf2c5d6155e70fe.html" TargetMode="External"/><Relationship Id="rId21" Type="http://schemas.openxmlformats.org/officeDocument/2006/relationships/hyperlink" Target="http://www.slaymultimedios.com/" TargetMode="External"/><Relationship Id="rId2089" Type="http://schemas.openxmlformats.org/officeDocument/2006/relationships/hyperlink" Target="https://twitter.com/blissy/status/1064113382708649985" TargetMode="External"/><Relationship Id="rId170" Type="http://schemas.openxmlformats.org/officeDocument/2006/relationships/hyperlink" Target="http://iuparacuellos.wordpress.com/" TargetMode="External"/><Relationship Id="rId2296" Type="http://schemas.openxmlformats.org/officeDocument/2006/relationships/hyperlink" Target="http://diario16.com/denunciado-fiscal-pidio-archivo-del-caso-master-pablo-casado/" TargetMode="External"/><Relationship Id="rId268" Type="http://schemas.openxmlformats.org/officeDocument/2006/relationships/hyperlink" Target="https://www.eldiario.es/_31fba826" TargetMode="External"/><Relationship Id="rId475" Type="http://schemas.openxmlformats.org/officeDocument/2006/relationships/hyperlink" Target="https://www.eldiario.es/_31fba826" TargetMode="External"/><Relationship Id="rId682" Type="http://schemas.openxmlformats.org/officeDocument/2006/relationships/hyperlink" Target="http://m.eldiario.es/autores/guillem_pujol/" TargetMode="External"/><Relationship Id="rId2156" Type="http://schemas.openxmlformats.org/officeDocument/2006/relationships/hyperlink" Target="https://www.facebook.com/permalink.php?story_fbid=2611224649103857&amp;id=1463862153840118" TargetMode="External"/><Relationship Id="rId2363" Type="http://schemas.openxmlformats.org/officeDocument/2006/relationships/hyperlink" Target="https://youtu.be/gBj1ZEfTu1o" TargetMode="External"/><Relationship Id="rId2570" Type="http://schemas.openxmlformats.org/officeDocument/2006/relationships/hyperlink" Target="http://www.la-fm.es/2018/11/18/pablo-casado-exige-una-mejor-andalucia-para-todos-y-carga-contra-el-gobierno-corrupto-de-diaz/" TargetMode="External"/><Relationship Id="rId128" Type="http://schemas.openxmlformats.org/officeDocument/2006/relationships/hyperlink" Target="https://www.elmundo.es/economia/macroeconomia/2018/11/21/5bf550ef46163f8e5a8b460a.html" TargetMode="External"/><Relationship Id="rId335" Type="http://schemas.openxmlformats.org/officeDocument/2006/relationships/hyperlink" Target="http://lalavadoraonline.blogspot.com/" TargetMode="External"/><Relationship Id="rId542" Type="http://schemas.openxmlformats.org/officeDocument/2006/relationships/hyperlink" Target="http://www.europapress.es/castilla-y-leon/" TargetMode="External"/><Relationship Id="rId987" Type="http://schemas.openxmlformats.org/officeDocument/2006/relationships/hyperlink" Target="https://www.libertaddigital.com/espana/2018-11-21/pedro-sanchez-pide-a-casado-y-rufian-que-pidan-discupas-por-el-escupitajo-de-erc-a-borell-1276628638/" TargetMode="External"/><Relationship Id="rId1172" Type="http://schemas.openxmlformats.org/officeDocument/2006/relationships/hyperlink" Target="https://gab.ai/MskRobert" TargetMode="External"/><Relationship Id="rId2016" Type="http://schemas.openxmlformats.org/officeDocument/2006/relationships/hyperlink" Target="https://diario6.com/pablo-casado-al-igual-que-cospedal-tambien-se-reunio-con-villarejo/" TargetMode="External"/><Relationship Id="rId2223" Type="http://schemas.openxmlformats.org/officeDocument/2006/relationships/hyperlink" Target="https://diario6.com/pablo-casado-al-igual-que-cospedal-tambien-se-reunio-con-villarejo/" TargetMode="External"/><Relationship Id="rId2430" Type="http://schemas.openxmlformats.org/officeDocument/2006/relationships/hyperlink" Target="https://noticiasgibraltar.es/campo-gibraltar/noticias/3899/casado-afirma-algeciras-que-pp-es-unico-que-defiende-gibraltar-espanol" TargetMode="External"/><Relationship Id="rId2668" Type="http://schemas.openxmlformats.org/officeDocument/2006/relationships/hyperlink" Target="https://goo.gl/XPaJPL" TargetMode="External"/><Relationship Id="rId2875" Type="http://schemas.openxmlformats.org/officeDocument/2006/relationships/hyperlink" Target="http://www.arriagacuevas.es/" TargetMode="External"/><Relationship Id="rId402" Type="http://schemas.openxmlformats.org/officeDocument/2006/relationships/hyperlink" Target="https://twitter.com/partidazocope/status/1065730464848203777" TargetMode="External"/><Relationship Id="rId847" Type="http://schemas.openxmlformats.org/officeDocument/2006/relationships/hyperlink" Target="http://about.me/pedroguzman" TargetMode="External"/><Relationship Id="rId1032" Type="http://schemas.openxmlformats.org/officeDocument/2006/relationships/hyperlink" Target="https://www.instagram.com/pablocasadoblanco/" TargetMode="External"/><Relationship Id="rId1477" Type="http://schemas.openxmlformats.org/officeDocument/2006/relationships/hyperlink" Target="http://antimadridismo.tk/" TargetMode="External"/><Relationship Id="rId1684" Type="http://schemas.openxmlformats.org/officeDocument/2006/relationships/hyperlink" Target="https://www.youtube.com/channel/UCzxgc4H0oHpD_o05R7wmEAA" TargetMode="External"/><Relationship Id="rId1891" Type="http://schemas.openxmlformats.org/officeDocument/2006/relationships/hyperlink" Target="https://twitter.com/pablocasado_/status/1064598758489563139" TargetMode="External"/><Relationship Id="rId2528" Type="http://schemas.openxmlformats.org/officeDocument/2006/relationships/hyperlink" Target="https://www.elmundo.es/andalucia/2018/11/18/5bf1600fe2704ed9718b45f0.html" TargetMode="External"/><Relationship Id="rId2735" Type="http://schemas.openxmlformats.org/officeDocument/2006/relationships/hyperlink" Target="http://www.coe.int/socialcharter" TargetMode="External"/><Relationship Id="rId2942" Type="http://schemas.openxmlformats.org/officeDocument/2006/relationships/hyperlink" Target="http://cadenaser.com/emisora/2018/11/17/radio_cordoba/1542480527_927669.html" TargetMode="External"/><Relationship Id="rId707" Type="http://schemas.openxmlformats.org/officeDocument/2006/relationships/hyperlink" Target="https://www.huffingtonpost.es/2018/11/22/tension-entre-pepa-bueno-y-pablo-casado-desde-esperanza-aguirre-no-he-tenido-tantas-dificultades-para-hacer-preguntas_a_23596803/?ncid=other_twitter_cooo9wqtham&amp;utm_campaign=share_twitter" TargetMode="External"/><Relationship Id="rId914" Type="http://schemas.openxmlformats.org/officeDocument/2006/relationships/hyperlink" Target="http://www.hoyporhoy.es/" TargetMode="External"/><Relationship Id="rId1337" Type="http://schemas.openxmlformats.org/officeDocument/2006/relationships/hyperlink" Target="https://www.elmundo.es/espana/2018/11/20/5bf3eb5022601d317c8b45a2.html" TargetMode="External"/><Relationship Id="rId1544" Type="http://schemas.openxmlformats.org/officeDocument/2006/relationships/hyperlink" Target="http://bit.ly/2Tu8non" TargetMode="External"/><Relationship Id="rId1751" Type="http://schemas.openxmlformats.org/officeDocument/2006/relationships/hyperlink" Target="http://pic.twitter.com/1btoOdIEul" TargetMode="External"/><Relationship Id="rId1989" Type="http://schemas.openxmlformats.org/officeDocument/2006/relationships/hyperlink" Target="https://www.lavanguardia.com/politica/20181117/452992780484/pablo-casado-espana-no-colonizaba-tener-espana-mas-grande.html" TargetMode="External"/><Relationship Id="rId2802" Type="http://schemas.openxmlformats.org/officeDocument/2006/relationships/hyperlink" Target="https://www.libertaddigital.com/opinion/federico-jimenez-losantos/el-misterio-del-suicidio-de-casado-con-el-veneno-de-rajoy-86505/" TargetMode="External"/><Relationship Id="rId43" Type="http://schemas.openxmlformats.org/officeDocument/2006/relationships/hyperlink" Target="https://m.eldiario.es/31fba826_838576166/" TargetMode="External"/><Relationship Id="rId1404" Type="http://schemas.openxmlformats.org/officeDocument/2006/relationships/hyperlink" Target="https://twitter.com/jon_mcenroe/timelines/540009095320076288" TargetMode="External"/><Relationship Id="rId1611" Type="http://schemas.openxmlformats.org/officeDocument/2006/relationships/hyperlink" Target="http://ramoncotarelo.com/" TargetMode="External"/><Relationship Id="rId1849" Type="http://schemas.openxmlformats.org/officeDocument/2006/relationships/hyperlink" Target="https://twitter.com/alfredgarcia" TargetMode="External"/><Relationship Id="rId192" Type="http://schemas.openxmlformats.org/officeDocument/2006/relationships/hyperlink" Target="https://www.eldiario.es/_31fba826" TargetMode="External"/><Relationship Id="rId1709" Type="http://schemas.openxmlformats.org/officeDocument/2006/relationships/hyperlink" Target="http://cadenaser.com/ser/2018/11/19/tribunales/1542652839_577735.html" TargetMode="External"/><Relationship Id="rId1916" Type="http://schemas.openxmlformats.org/officeDocument/2006/relationships/hyperlink" Target="https://pbs.twimg.com/media/DsYydcCWwAAn1YG.jpg" TargetMode="External"/><Relationship Id="rId497" Type="http://schemas.openxmlformats.org/officeDocument/2006/relationships/hyperlink" Target="http://danirodriguezphoto.tumblr.com/" TargetMode="External"/><Relationship Id="rId2080" Type="http://schemas.openxmlformats.org/officeDocument/2006/relationships/hyperlink" Target="http://diario16.com/denunciado-fiscal-pidio-archivo-del-caso-master-pablo-casado/" TargetMode="External"/><Relationship Id="rId2178" Type="http://schemas.openxmlformats.org/officeDocument/2006/relationships/hyperlink" Target="http://dlvr.it/QrZdSW" TargetMode="External"/><Relationship Id="rId2385" Type="http://schemas.openxmlformats.org/officeDocument/2006/relationships/hyperlink" Target="https://pbs.twimg.com/media/DsUSb_sWwAEAagy.jpg" TargetMode="External"/><Relationship Id="rId357" Type="http://schemas.openxmlformats.org/officeDocument/2006/relationships/hyperlink" Target="https://www.eldiario.es/escolar/Pablo-Casado-Poder-Judicial-Cosido_6_838576166.html" TargetMode="External"/><Relationship Id="rId1194" Type="http://schemas.openxmlformats.org/officeDocument/2006/relationships/hyperlink" Target="https://youtu.be/96kKaNMl8Ro" TargetMode="External"/><Relationship Id="rId2038" Type="http://schemas.openxmlformats.org/officeDocument/2006/relationships/hyperlink" Target="http://www.suntanningsl.com/" TargetMode="External"/><Relationship Id="rId2592" Type="http://schemas.openxmlformats.org/officeDocument/2006/relationships/hyperlink" Target="http://republica.com/" TargetMode="External"/><Relationship Id="rId2897" Type="http://schemas.openxmlformats.org/officeDocument/2006/relationships/hyperlink" Target="https://www.huffingtonpost.es/2018/11/17/pablo-casado-los-espanoles-no-colonizabamos-lo-que-haciamos-era-tener-una-espana-mas-grande_a_23592393/" TargetMode="External"/><Relationship Id="rId217" Type="http://schemas.openxmlformats.org/officeDocument/2006/relationships/hyperlink" Target="http://www.elnacional.cat/es/" TargetMode="External"/><Relationship Id="rId564" Type="http://schemas.openxmlformats.org/officeDocument/2006/relationships/hyperlink" Target="http://atres.red/1wm6e7" TargetMode="External"/><Relationship Id="rId771" Type="http://schemas.openxmlformats.org/officeDocument/2006/relationships/hyperlink" Target="https://www.huffingtonpost.es/2018/11/22/pablo-casado-rechaza-el-whatsapp-sobre-los-jueces-y-cree-que-no-lo-escribio-cosido_a_23596700/?utm_hp_ref=es-homepage" TargetMode="External"/><Relationship Id="rId869" Type="http://schemas.openxmlformats.org/officeDocument/2006/relationships/hyperlink" Target="https://pbs.twimg.com/media/DsmHNvEXgAAWgAU.jpg" TargetMode="External"/><Relationship Id="rId1499" Type="http://schemas.openxmlformats.org/officeDocument/2006/relationships/hyperlink" Target="https://youtu.be/wYWqKC8cYGc" TargetMode="External"/><Relationship Id="rId2245" Type="http://schemas.openxmlformats.org/officeDocument/2006/relationships/hyperlink" Target="http://diario16.com/denunciado-fiscal-pidio-archivo-del-caso-master-pablo-casado/" TargetMode="External"/><Relationship Id="rId2452"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424" Type="http://schemas.openxmlformats.org/officeDocument/2006/relationships/hyperlink" Target="https://m.eldiario.es/_31fba826" TargetMode="External"/><Relationship Id="rId631" Type="http://schemas.openxmlformats.org/officeDocument/2006/relationships/hyperlink" Target="https://www.mediterraneodigital.com/opinion/columnistas-de-opinion/alejo-vidal-quadras/el-alea-iacta-est-de-pablo-casado.html" TargetMode="External"/><Relationship Id="rId729" Type="http://schemas.openxmlformats.org/officeDocument/2006/relationships/hyperlink" Target="https://m.eldiario.es/_31fabdf9" TargetMode="External"/><Relationship Id="rId1054" Type="http://schemas.openxmlformats.org/officeDocument/2006/relationships/hyperlink" Target="http://pic.twitter.com/dT78EdKmdP" TargetMode="External"/><Relationship Id="rId1261" Type="http://schemas.openxmlformats.org/officeDocument/2006/relationships/hyperlink" Target="http://www.casoaislado.com/" TargetMode="External"/><Relationship Id="rId1359" Type="http://schemas.openxmlformats.org/officeDocument/2006/relationships/hyperlink" Target="https://www.facebook.com/1123011491044860/posts/2246818535330811/" TargetMode="External"/><Relationship Id="rId2105" Type="http://schemas.openxmlformats.org/officeDocument/2006/relationships/hyperlink" Target="https://www.traficantes.net/libros/victoria-y-control-en-el-madrid-ocupado" TargetMode="External"/><Relationship Id="rId2312" Type="http://schemas.openxmlformats.org/officeDocument/2006/relationships/hyperlink" Target="http://www.guerraeterna.com/pablo-casado-contra-la-historia/" TargetMode="External"/><Relationship Id="rId2757" Type="http://schemas.openxmlformats.org/officeDocument/2006/relationships/hyperlink" Target="http://youtu.be/NLCcLn17ERQ?a" TargetMode="External"/><Relationship Id="rId2964" Type="http://schemas.openxmlformats.org/officeDocument/2006/relationships/hyperlink" Target="https://www.huffingtonpost.es/2018/11/17/pablo-casado-los-espanoles-no-colonizabamos-lo-que-haciamos-era-tener-una-espana-mas-grande_a_23592393/" TargetMode="External"/><Relationship Id="rId936" Type="http://schemas.openxmlformats.org/officeDocument/2006/relationships/hyperlink" Target="http://www.linkedin.com/in/antonio-rodriguez-guerra" TargetMode="External"/><Relationship Id="rId1121" Type="http://schemas.openxmlformats.org/officeDocument/2006/relationships/hyperlink" Target="http://www.larodapsoe.es/" TargetMode="External"/><Relationship Id="rId1219" Type="http://schemas.openxmlformats.org/officeDocument/2006/relationships/hyperlink" Target="https://www.elmundo.es/espana/2018/11/20/5bf3eb5022601d317c8b45a2.html" TargetMode="External"/><Relationship Id="rId1566" Type="http://schemas.openxmlformats.org/officeDocument/2006/relationships/hyperlink" Target="https://netpolitik.wordpress.com/" TargetMode="External"/><Relationship Id="rId1773" Type="http://schemas.openxmlformats.org/officeDocument/2006/relationships/hyperlink" Target="https://www.ecorepublicano.es/2018/11/anabel-alonso-destroza-pablo-casado-en.html" TargetMode="External"/><Relationship Id="rId1980" Type="http://schemas.openxmlformats.org/officeDocument/2006/relationships/hyperlink" Target="http://www.multiforo.eu/Noticias/2018/Noviembre/Noviembre_19.htm" TargetMode="External"/><Relationship Id="rId2617"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824" Type="http://schemas.openxmlformats.org/officeDocument/2006/relationships/hyperlink" Target="https://pbs.twimg.com/media/DsSBSInXgAEjTWf.jpg" TargetMode="External"/><Relationship Id="rId65" Type="http://schemas.openxmlformats.org/officeDocument/2006/relationships/hyperlink" Target="http://www.bobestropajo.com/" TargetMode="External"/><Relationship Id="rId1426" Type="http://schemas.openxmlformats.org/officeDocument/2006/relationships/hyperlink" Target="http://www.noticiasdegipuzkoa.eus/" TargetMode="External"/><Relationship Id="rId1633" Type="http://schemas.openxmlformats.org/officeDocument/2006/relationships/hyperlink" Target="http://www.lasexta.com/programas/al-rojo-vivo/" TargetMode="External"/><Relationship Id="rId1840" Type="http://schemas.openxmlformats.org/officeDocument/2006/relationships/hyperlink" Target="http://www.elcheclubdefutbolsad.com/" TargetMode="External"/><Relationship Id="rId1700" Type="http://schemas.openxmlformats.org/officeDocument/2006/relationships/hyperlink" Target="https://pbs.twimg.com/media/Dsbt969XoAAzfZj.jpg" TargetMode="External"/><Relationship Id="rId1938" Type="http://schemas.openxmlformats.org/officeDocument/2006/relationships/hyperlink" Target="http://es-la.facebook.com/cecilio.castro.777" TargetMode="External"/><Relationship Id="rId281" Type="http://schemas.openxmlformats.org/officeDocument/2006/relationships/hyperlink" Target="http://pic.twitter.com/QBTn447Ne5" TargetMode="External"/><Relationship Id="rId141" Type="http://schemas.openxmlformats.org/officeDocument/2006/relationships/hyperlink" Target="https://www.eldiario.es/_31fba826" TargetMode="External"/><Relationship Id="rId379" Type="http://schemas.openxmlformats.org/officeDocument/2006/relationships/hyperlink" Target="http://www.elnacional.cat/es/" TargetMode="External"/><Relationship Id="rId586" Type="http://schemas.openxmlformats.org/officeDocument/2006/relationships/hyperlink" Target="https://www.eldiario.es/_31fabdf9" TargetMode="External"/><Relationship Id="rId793" Type="http://schemas.openxmlformats.org/officeDocument/2006/relationships/hyperlink" Target="https://www.eldiario.es/politica/Pablo-Casado-exaltacion-franquismo-probidida_0_838516217.html" TargetMode="External"/><Relationship Id="rId2267" Type="http://schemas.openxmlformats.org/officeDocument/2006/relationships/hyperlink" Target="http://diario16.com/denunciado-fiscal-pidio-archivo-del-caso-master-pablo-casado/" TargetMode="External"/><Relationship Id="rId2474" Type="http://schemas.openxmlformats.org/officeDocument/2006/relationships/hyperlink" Target="https://twitter.com/UKLANGMAPPING/status/1063866311468564481" TargetMode="External"/><Relationship Id="rId2681" Type="http://schemas.openxmlformats.org/officeDocument/2006/relationships/hyperlink" Target="https://www.antena3.com/noticias/espana/pablo-casado-llama-acabar-regimen-susana-diaz-video_201811185bf15acc0cf2c5d6155e5b5e.html" TargetMode="External"/><Relationship Id="rId7" Type="http://schemas.openxmlformats.org/officeDocument/2006/relationships/hyperlink" Target="https://pbs.twimg.com/media/Dssd1zEVYAUGitW.png" TargetMode="External"/><Relationship Id="rId239" Type="http://schemas.openxmlformats.org/officeDocument/2006/relationships/hyperlink" Target="https://www.eldiario.es/_31fba826" TargetMode="External"/><Relationship Id="rId446" Type="http://schemas.openxmlformats.org/officeDocument/2006/relationships/hyperlink" Target="http://www.huffingtonpost.es/" TargetMode="External"/><Relationship Id="rId653" Type="http://schemas.openxmlformats.org/officeDocument/2006/relationships/hyperlink" Target="http://ow.ly/l5eO30mIlkz" TargetMode="External"/><Relationship Id="rId1076" Type="http://schemas.openxmlformats.org/officeDocument/2006/relationships/hyperlink" Target="https://pbs.twimg.com/media/Dsiqv3OXoAEucJE.jpg" TargetMode="External"/><Relationship Id="rId1283" Type="http://schemas.openxmlformats.org/officeDocument/2006/relationships/hyperlink" Target="https://pbs.twimg.com/media/DseBLfmXoAcTj1A.jpg" TargetMode="External"/><Relationship Id="rId1490" Type="http://schemas.openxmlformats.org/officeDocument/2006/relationships/hyperlink" Target="http://www.revistaelobservador.com/opinion/50-redaccion/14202-aznar-pp-viene-a-malaga-en-campana-electoral-para-echarle-una-mano-a-su-hijo-politico-pablo-casado-manana-presenta-su-libro-el-futuro-es-hoy-en-el-salon-de-actos-del-cac-centro-de-arte-contemporaneo" TargetMode="External"/><Relationship Id="rId2127" Type="http://schemas.openxmlformats.org/officeDocument/2006/relationships/hyperlink" Target="https://www.lavanguardia.com/politica/20181117/452992780484/pablo-casado-espana-no-colonizaba-tener-espana-mas-grande.html" TargetMode="External"/><Relationship Id="rId2334" Type="http://schemas.openxmlformats.org/officeDocument/2006/relationships/hyperlink" Target="http://www.hechosdehoy.com/" TargetMode="External"/><Relationship Id="rId2779" Type="http://schemas.openxmlformats.org/officeDocument/2006/relationships/hyperlink" Target="http://enriquebonillaalgovia.blogspot.com/" TargetMode="External"/><Relationship Id="rId306" Type="http://schemas.openxmlformats.org/officeDocument/2006/relationships/hyperlink" Target="https://www.eldiario.es/_31fba826" TargetMode="External"/><Relationship Id="rId860" Type="http://schemas.openxmlformats.org/officeDocument/2006/relationships/hyperlink" Target="http://www.cambio16.com/" TargetMode="External"/><Relationship Id="rId958" Type="http://schemas.openxmlformats.org/officeDocument/2006/relationships/hyperlink" Target="http://diario6.com/pablo-casado-el-hombre-que-cobra-1-842-euros-en-dietas-por-ser-diputado-por-avila-pero-que-vive-y-vota-en-madrid/" TargetMode="External"/><Relationship Id="rId1143" Type="http://schemas.openxmlformats.org/officeDocument/2006/relationships/hyperlink" Target="http://jfmoriche.blogspot.com/" TargetMode="External"/><Relationship Id="rId1588" Type="http://schemas.openxmlformats.org/officeDocument/2006/relationships/hyperlink" Target="https://socialcumbre.blogspot.com.es/" TargetMode="External"/><Relationship Id="rId1795" Type="http://schemas.openxmlformats.org/officeDocument/2006/relationships/hyperlink" Target="https://www.eldiario.es/escolar/mentiras-Pablo-Casado-Gurtel-Irak_6_828777140.html" TargetMode="External"/><Relationship Id="rId2541" Type="http://schemas.openxmlformats.org/officeDocument/2006/relationships/hyperlink" Target="https://pbs.twimg.com/media/DsTVCNRWsAE1YlW.jpg" TargetMode="External"/><Relationship Id="rId2639" Type="http://schemas.openxmlformats.org/officeDocument/2006/relationships/hyperlink" Target="https://www.elplural.com/politica/el-juez-senador-del-pp-compro-una-finca-de-3-941-metros-cuadrados-por-676-euros_206521102" TargetMode="External"/><Relationship Id="rId2846" Type="http://schemas.openxmlformats.org/officeDocument/2006/relationships/hyperlink" Target="http://cherinola-cherinolasweb.blogspot.com/" TargetMode="External"/><Relationship Id="rId87" Type="http://schemas.openxmlformats.org/officeDocument/2006/relationships/hyperlink" Target="https://m.eldiario.es/_31fba826" TargetMode="External"/><Relationship Id="rId513" Type="http://schemas.openxmlformats.org/officeDocument/2006/relationships/hyperlink" Target="https://www.eljueves.es/news/universidad-rey-juan-carlos-contrata-como-profesor-a-pablo-casado_2968" TargetMode="External"/><Relationship Id="rId720" Type="http://schemas.openxmlformats.org/officeDocument/2006/relationships/hyperlink" Target="https://m.eldiario.es/31fabdf9_838516217/" TargetMode="External"/><Relationship Id="rId818" Type="http://schemas.openxmlformats.org/officeDocument/2006/relationships/hyperlink" Target="https://ift.tt/2zn5tJD" TargetMode="External"/><Relationship Id="rId1350" Type="http://schemas.openxmlformats.org/officeDocument/2006/relationships/hyperlink" Target="https://pbs.twimg.com/media/DselwRmUcAAltbg.jpg" TargetMode="External"/><Relationship Id="rId1448" Type="http://schemas.openxmlformats.org/officeDocument/2006/relationships/hyperlink" Target="https://www.elmundo.es/espana/2018/11/20/5bf4064222601d460c8b45ee.html" TargetMode="External"/><Relationship Id="rId1655" Type="http://schemas.openxmlformats.org/officeDocument/2006/relationships/hyperlink" Target="http://elrincndedonnadie.blogspot.com/" TargetMode="External"/><Relationship Id="rId2401" Type="http://schemas.openxmlformats.org/officeDocument/2006/relationships/hyperlink" Target="https://www.youtube.com/watch?v=X8FQMS9yXLc&amp;t=1413s" TargetMode="External"/><Relationship Id="rId2706" Type="http://schemas.openxmlformats.org/officeDocument/2006/relationships/hyperlink" Target="https://www.lavanguardia.com/politica/20181117/452992780484/pablo-casado-espana-no-colonizaba-tener-espana-mas-grande.html?utm_source=facebook&amp;utm_medium=social&amp;utm_content=politica&amp;utm_campaign=lv" TargetMode="External"/><Relationship Id="rId1003" Type="http://schemas.openxmlformats.org/officeDocument/2006/relationships/hyperlink" Target="https://www.libertaddigital.com/espana/2018-11-21/pedro-sanchez-pide-a-casado-y-rufian-que-pidan-discupas-por-el-escupitajo-de-erc-a-borell-1276628638/" TargetMode="External"/><Relationship Id="rId1210" Type="http://schemas.openxmlformats.org/officeDocument/2006/relationships/hyperlink" Target="https://www.libertaddigital.com/opinion/luis-asua/tiempos-para-la-epica-86520/" TargetMode="External"/><Relationship Id="rId1308" Type="http://schemas.openxmlformats.org/officeDocument/2006/relationships/hyperlink" Target="https://twitter.com/pablocasado_/status/1064961885383114754" TargetMode="External"/><Relationship Id="rId1862" Type="http://schemas.openxmlformats.org/officeDocument/2006/relationships/hyperlink" Target="https://www.elmundo.es/espana/2018/11/19/5bf1b311268e3e5c418b45ab.html" TargetMode="External"/><Relationship Id="rId2913" Type="http://schemas.openxmlformats.org/officeDocument/2006/relationships/hyperlink" Target="https://www.huffingtonpost.es/2018/11/17/pablo-casado-los-espanoles-no-colonizabamos-lo-que-haciamos-era-tener-una-espana-mas-grande_a_23592393/?utm_hp_ref=es-homepage" TargetMode="External"/><Relationship Id="rId1515" Type="http://schemas.openxmlformats.org/officeDocument/2006/relationships/hyperlink" Target="https://pbs.twimg.com/media/Dsc0SexWoAAQkWS.jpg" TargetMode="External"/><Relationship Id="rId1722" Type="http://schemas.openxmlformats.org/officeDocument/2006/relationships/hyperlink" Target="https://www.eldiario.es/_30b09303" TargetMode="External"/><Relationship Id="rId14" Type="http://schemas.openxmlformats.org/officeDocument/2006/relationships/hyperlink" Target="https://www.eldiario.es/escolar/Pablo-Casado-Poder-Judicial-Cosido_6_838576166.html" TargetMode="External"/><Relationship Id="rId2191" Type="http://schemas.openxmlformats.org/officeDocument/2006/relationships/hyperlink" Target="http://about.me/soyelhansa1979" TargetMode="External"/><Relationship Id="rId163" Type="http://schemas.openxmlformats.org/officeDocument/2006/relationships/hyperlink" Target="https://www.eldiario.es/_31fabdf9" TargetMode="External"/><Relationship Id="rId370" Type="http://schemas.openxmlformats.org/officeDocument/2006/relationships/hyperlink" Target="http://dlvr.it/QrvYSs" TargetMode="External"/><Relationship Id="rId2051" Type="http://schemas.openxmlformats.org/officeDocument/2006/relationships/hyperlink" Target="http://diario16.com/denunciado-fiscal-pidio-archivo-del-caso-master-pablo-casado/" TargetMode="External"/><Relationship Id="rId2289" Type="http://schemas.openxmlformats.org/officeDocument/2006/relationships/hyperlink" Target="https://www.publico.es/actualidad/noticias-semana-casado-pide-gibraltar-espanol-dicen-tratados-noticias-destacadas-semana.html" TargetMode="External"/><Relationship Id="rId2496" Type="http://schemas.openxmlformats.org/officeDocument/2006/relationships/hyperlink" Target="http://www.guerraeterna.com/pablo-casado-contra-la-historia/" TargetMode="External"/><Relationship Id="rId230" Type="http://schemas.openxmlformats.org/officeDocument/2006/relationships/hyperlink" Target="https://buff.ly/2S9YGtX" TargetMode="External"/><Relationship Id="rId468" Type="http://schemas.openxmlformats.org/officeDocument/2006/relationships/hyperlink" Target="https://pbs.twimg.com/media/Dso1BVHXQAA0o2Z.jpg" TargetMode="External"/><Relationship Id="rId675" Type="http://schemas.openxmlformats.org/officeDocument/2006/relationships/hyperlink" Target="https://m.eldiario.es/31fabdf9_838516217/" TargetMode="External"/><Relationship Id="rId882" Type="http://schemas.openxmlformats.org/officeDocument/2006/relationships/hyperlink" Target="http://www.bobestropajo.com/" TargetMode="External"/><Relationship Id="rId1098" Type="http://schemas.openxmlformats.org/officeDocument/2006/relationships/hyperlink" Target="https://www.eljueves.es/news/universidad-rey-juan-carlos-contrata-como-profesor-a-pablo-casado_2968" TargetMode="External"/><Relationship Id="rId2149" Type="http://schemas.openxmlformats.org/officeDocument/2006/relationships/hyperlink" Target="http://theguardian.eldiario.es/" TargetMode="External"/><Relationship Id="rId2356" Type="http://schemas.openxmlformats.org/officeDocument/2006/relationships/hyperlink" Target="https://pbs.twimg.com/media/DsR03ejWwAA3HDO.jpg" TargetMode="External"/><Relationship Id="rId2563" Type="http://schemas.openxmlformats.org/officeDocument/2006/relationships/hyperlink" Target="http://elregresodejuandemairena.blogspot.com.es/" TargetMode="External"/><Relationship Id="rId2770" Type="http://schemas.openxmlformats.org/officeDocument/2006/relationships/hyperlink" Target="http://www.trianadigital.es/" TargetMode="External"/><Relationship Id="rId328" Type="http://schemas.openxmlformats.org/officeDocument/2006/relationships/hyperlink" Target="http://conc.ccoo.cat/ensenyament/" TargetMode="External"/><Relationship Id="rId535" Type="http://schemas.openxmlformats.org/officeDocument/2006/relationships/hyperlink" Target="https://pbs.twimg.com/media/DsoVamZVAAA9PO2.jpg" TargetMode="External"/><Relationship Id="rId742" Type="http://schemas.openxmlformats.org/officeDocument/2006/relationships/hyperlink" Target="https://diario6.com/pablo-casado-el-hombre-que-cobra-1-842-euros-en-dietas-por-ser-diputado-por-avila-pero-que-vive-y-vota-en-madrid/" TargetMode="External"/><Relationship Id="rId1165" Type="http://schemas.openxmlformats.org/officeDocument/2006/relationships/hyperlink" Target="http://www.facebook.com/profile.php?id=727486311&amp;sk=info" TargetMode="External"/><Relationship Id="rId1372" Type="http://schemas.openxmlformats.org/officeDocument/2006/relationships/hyperlink" Target="http://atres.red/jokrq" TargetMode="External"/><Relationship Id="rId2009" Type="http://schemas.openxmlformats.org/officeDocument/2006/relationships/hyperlink" Target="https://twitter.com/josemssantos" TargetMode="External"/><Relationship Id="rId2216" Type="http://schemas.openxmlformats.org/officeDocument/2006/relationships/hyperlink" Target="http://www.rostauro.es/" TargetMode="External"/><Relationship Id="rId2423" Type="http://schemas.openxmlformats.org/officeDocument/2006/relationships/hyperlink" Target="https://theaverse.wixsite.com/death" TargetMode="External"/><Relationship Id="rId2630" Type="http://schemas.openxmlformats.org/officeDocument/2006/relationships/hyperlink" Target="https://www.lavanguardia.com/politica/20181118/453010973750/pablo-casado-nuevo-155-catalunya-andalucia-ilegalizar-cup.html?utm_campaign=botones_sociales&amp;utm_source=twitter&amp;utm_medium=social" TargetMode="External"/><Relationship Id="rId2868" Type="http://schemas.openxmlformats.org/officeDocument/2006/relationships/hyperlink" Target="https://pbs.twimg.com/media/DsRxRfhWwAETlN0.jpg" TargetMode="External"/><Relationship Id="rId602" Type="http://schemas.openxmlformats.org/officeDocument/2006/relationships/hyperlink" Target="https://www.eldiario.es/_31fabdf9" TargetMode="External"/><Relationship Id="rId1025" Type="http://schemas.openxmlformats.org/officeDocument/2006/relationships/hyperlink" Target="http://www.spanishbowl.com/Equipos/philadelphia-eagles/" TargetMode="External"/><Relationship Id="rId1232" Type="http://schemas.openxmlformats.org/officeDocument/2006/relationships/hyperlink" Target="https://www.linkedin.com/in/iuriamolero/" TargetMode="External"/><Relationship Id="rId1677" Type="http://schemas.openxmlformats.org/officeDocument/2006/relationships/hyperlink" Target="https://www.vozpopuli.com/_47092341" TargetMode="External"/><Relationship Id="rId1884" Type="http://schemas.openxmlformats.org/officeDocument/2006/relationships/hyperlink" Target="http://marcosleyjimbo.blogspot.com.es/" TargetMode="External"/><Relationship Id="rId2728" Type="http://schemas.openxmlformats.org/officeDocument/2006/relationships/hyperlink" Target="http://dlvr.it/QrWsrd" TargetMode="External"/><Relationship Id="rId2935" Type="http://schemas.openxmlformats.org/officeDocument/2006/relationships/hyperlink" Target="http://page.is/francisco-flores" TargetMode="External"/><Relationship Id="rId907" Type="http://schemas.openxmlformats.org/officeDocument/2006/relationships/hyperlink" Target="https://pbs.twimg.com/media/Dsl9FXiVsAAQAWN.jpg" TargetMode="External"/><Relationship Id="rId1537" Type="http://schemas.openxmlformats.org/officeDocument/2006/relationships/hyperlink" Target="https://elpais.com/politica/2018/11/20/actualidad/1542709427_130352.html?id_externo_rsoc=TW_CC" TargetMode="External"/><Relationship Id="rId1744" Type="http://schemas.openxmlformats.org/officeDocument/2006/relationships/hyperlink" Target="http://joandegracia.blogspot.com/" TargetMode="External"/><Relationship Id="rId1951" Type="http://schemas.openxmlformats.org/officeDocument/2006/relationships/hyperlink" Target="http://pic.twitter.com/QaRrk6bEZe" TargetMode="External"/><Relationship Id="rId36" Type="http://schemas.openxmlformats.org/officeDocument/2006/relationships/hyperlink" Target="https://www.eljueves.es/news/pablo-casado-intenta-comprar-remesa-esclavos-black-friday_2970?utm_source=facebook&amp;utm_medium=social&amp;utm_campaign=trafico" TargetMode="External"/><Relationship Id="rId1604" Type="http://schemas.openxmlformats.org/officeDocument/2006/relationships/hyperlink" Target="http://www.naiz.eus/" TargetMode="External"/><Relationship Id="rId185" Type="http://schemas.openxmlformats.org/officeDocument/2006/relationships/hyperlink" Target="https://www.moncloa.com/jaime-santos-pablo-casado-madrid/" TargetMode="External"/><Relationship Id="rId1811" Type="http://schemas.openxmlformats.org/officeDocument/2006/relationships/hyperlink" Target="https://lopezbulla.blogspot.com/2018/11/las-violetas-imperiales-de-pablo-casado.html" TargetMode="External"/><Relationship Id="rId1909" Type="http://schemas.openxmlformats.org/officeDocument/2006/relationships/hyperlink" Target="http://dieteticadigital.net/" TargetMode="External"/><Relationship Id="rId392" Type="http://schemas.openxmlformats.org/officeDocument/2006/relationships/hyperlink" Target="http://magazine340.es/" TargetMode="External"/><Relationship Id="rId697" Type="http://schemas.openxmlformats.org/officeDocument/2006/relationships/hyperlink" Target="https://www.eldiario.es/politica/Pablo-Casado-exaltacion-franquismo-probidida_0_838516217.html" TargetMode="External"/><Relationship Id="rId2073" Type="http://schemas.openxmlformats.org/officeDocument/2006/relationships/hyperlink" Target="http://www.avesfotos.eu/" TargetMode="External"/><Relationship Id="rId2280" Type="http://schemas.openxmlformats.org/officeDocument/2006/relationships/hyperlink" Target="https://pbs.twimg.com/media/DsWSpqtW0AEU5i6.jpg" TargetMode="External"/><Relationship Id="rId2378" Type="http://schemas.openxmlformats.org/officeDocument/2006/relationships/hyperlink" Target="https://pbs.twimg.com/media/DsUWVpUW0AAZXvn.jpg" TargetMode="External"/><Relationship Id="rId252" Type="http://schemas.openxmlformats.org/officeDocument/2006/relationships/hyperlink" Target="https://www.huffingtonpost.es/2018/11/22/tension-entre-pepa-bueno-y-pablo-casado-desde-esperanza-aguirre-no-he-tenido-tantas-dificultades-para-hacer-preguntas_a_23596803/?ncid=other_twitter_cooo9wqtham&amp;utm_campaign=share_twitter" TargetMode="External"/><Relationship Id="rId1187" Type="http://schemas.openxmlformats.org/officeDocument/2006/relationships/hyperlink" Target="http://alcantarillasocial.com/author/protestona1" TargetMode="External"/><Relationship Id="rId2140" Type="http://schemas.openxmlformats.org/officeDocument/2006/relationships/hyperlink" Target="https://www.eldiario.es/_31e5630e" TargetMode="External"/><Relationship Id="rId2585" Type="http://schemas.openxmlformats.org/officeDocument/2006/relationships/hyperlink" Target="http://www.lextres.com/" TargetMode="External"/><Relationship Id="rId2792" Type="http://schemas.openxmlformats.org/officeDocument/2006/relationships/hyperlink" Target="https://pbs.twimg.com/media/DsSObwdXQAA-1-x.jpg" TargetMode="External"/><Relationship Id="rId112" Type="http://schemas.openxmlformats.org/officeDocument/2006/relationships/hyperlink" Target="http://www.huffingtonpost.es/" TargetMode="External"/><Relationship Id="rId557" Type="http://schemas.openxmlformats.org/officeDocument/2006/relationships/hyperlink" Target="https://www.eldiario.es/_31fabdf9" TargetMode="External"/><Relationship Id="rId764" Type="http://schemas.openxmlformats.org/officeDocument/2006/relationships/hyperlink" Target="https://pbs.twimg.com/media/DsmyUi4XQAAPYyG.jpg" TargetMode="External"/><Relationship Id="rId971" Type="http://schemas.openxmlformats.org/officeDocument/2006/relationships/hyperlink" Target="https://www.libertaddigital.com/espana/2018-11-21/pedro-sanchez-pide-a-casado-y-rufian-que-pidan-discupas-por-el-escupitajo-de-erc-a-borell-1276628638/" TargetMode="External"/><Relationship Id="rId1394" Type="http://schemas.openxmlformats.org/officeDocument/2006/relationships/hyperlink" Target="http://www.holatravelalmonte.es/" TargetMode="External"/><Relationship Id="rId1699" Type="http://schemas.openxmlformats.org/officeDocument/2006/relationships/hyperlink" Target="http://diario16.com/denunciado-fiscal-pidio-archivo-del-caso-master-pablo-casado/" TargetMode="External"/><Relationship Id="rId2000" Type="http://schemas.openxmlformats.org/officeDocument/2006/relationships/hyperlink" Target="http://eldiario.es/" TargetMode="External"/><Relationship Id="rId2238" Type="http://schemas.openxmlformats.org/officeDocument/2006/relationships/hyperlink" Target="http://canal4diario.com/2018/11/19/es-mas-de-lo-mismo/" TargetMode="External"/><Relationship Id="rId2445" Type="http://schemas.openxmlformats.org/officeDocument/2006/relationships/hyperlink" Target="https://pbs.twimg.com/media/DsTsCNKWwAARu9C.jpg" TargetMode="External"/><Relationship Id="rId2652" Type="http://schemas.openxmlformats.org/officeDocument/2006/relationships/hyperlink" Target="https://www.elmundo.es/andalucia/2018/11/18/5bf1600fe2704ed9718b45f0.html" TargetMode="External"/><Relationship Id="rId417" Type="http://schemas.openxmlformats.org/officeDocument/2006/relationships/hyperlink" Target="https://www.elespanol.com/opinion/editoriales/20181122/presidente-no-da/355104488_14.html" TargetMode="External"/><Relationship Id="rId624" Type="http://schemas.openxmlformats.org/officeDocument/2006/relationships/hyperlink" Target="https://m.eldiario.es/politica/Pablo-Casado-exaltacion-franquismo-probidida_0_838516217.html" TargetMode="External"/><Relationship Id="rId831" Type="http://schemas.openxmlformats.org/officeDocument/2006/relationships/hyperlink" Target="http://dlvr.it/QrrJJf" TargetMode="External"/><Relationship Id="rId1047" Type="http://schemas.openxmlformats.org/officeDocument/2006/relationships/hyperlink" Target="http://psoefondon.blogspot.com.es/" TargetMode="External"/><Relationship Id="rId1254" Type="http://schemas.openxmlformats.org/officeDocument/2006/relationships/hyperlink" Target="http://buff.ly/1hrqMt4" TargetMode="External"/><Relationship Id="rId1461" Type="http://schemas.openxmlformats.org/officeDocument/2006/relationships/hyperlink" Target="https://okdiario.com/espana/2018/11/20/pablo-casado-pedro-sanchez-elecciones-3372417?utm_term=Autofeed&amp;utm_campaign=ok&amp;utm_medium=Social&amp;utm_source=Twitter" TargetMode="External"/><Relationship Id="rId2305" Type="http://schemas.openxmlformats.org/officeDocument/2006/relationships/hyperlink" Target="https://cronicadigitalcomarcalp.blogspot.com/2018/11/pablo-casado-en-andalucia-mas-candidato.html" TargetMode="External"/><Relationship Id="rId2512" Type="http://schemas.openxmlformats.org/officeDocument/2006/relationships/hyperlink" Target="https://www.elplural.com/opinion/los-calvitos/la-historia-segun-pablo-casado_206557102" TargetMode="External"/><Relationship Id="rId2957" Type="http://schemas.openxmlformats.org/officeDocument/2006/relationships/hyperlink" Target="https://www.almendron.com/tribuna/?s=Guillermo+Gort%C3%A1zar" TargetMode="External"/><Relationship Id="rId929" Type="http://schemas.openxmlformats.org/officeDocument/2006/relationships/hyperlink" Target="https://pbs.twimg.com/media/Dsl1LMpXQAEbOzU.jpg" TargetMode="External"/><Relationship Id="rId1114" Type="http://schemas.openxmlformats.org/officeDocument/2006/relationships/hyperlink" Target="https://pbs.twimg.com/media/DsiTmMeXQAA800D.jpg" TargetMode="External"/><Relationship Id="rId1321" Type="http://schemas.openxmlformats.org/officeDocument/2006/relationships/hyperlink" Target="http://www.daviddominguez.com/" TargetMode="External"/><Relationship Id="rId1559" Type="http://schemas.openxmlformats.org/officeDocument/2006/relationships/hyperlink" Target="https://pbs.twimg.com/media/DscoucJXQAAENEv.jpg" TargetMode="External"/><Relationship Id="rId1766" Type="http://schemas.openxmlformats.org/officeDocument/2006/relationships/hyperlink" Target="http://eldiario.es/" TargetMode="External"/><Relationship Id="rId1973" Type="http://schemas.openxmlformats.org/officeDocument/2006/relationships/hyperlink" Target="http://diario16.com/denunciado-fiscal-pidio-archivo-del-caso-master-pablo-casado/" TargetMode="External"/><Relationship Id="rId2817" Type="http://schemas.openxmlformats.org/officeDocument/2006/relationships/hyperlink" Target="https://m.eldiario.es/_312a7b41" TargetMode="External"/><Relationship Id="rId58" Type="http://schemas.openxmlformats.org/officeDocument/2006/relationships/hyperlink" Target="http://www.eleconomista.es/autor/Ines-Calderon" TargetMode="External"/><Relationship Id="rId1419" Type="http://schemas.openxmlformats.org/officeDocument/2006/relationships/hyperlink" Target="http://ow.ly/Q10m30mGAa5" TargetMode="External"/><Relationship Id="rId1626" Type="http://schemas.openxmlformats.org/officeDocument/2006/relationships/hyperlink" Target="https://stopsucesiones.org/%f0%9f%9b%91el-presidente-del-partido-popular-pablo-casado-se-compromete-con-stop-sucesiones-a-suprimir-el-impuesto-a-las-herencias-en-toda-espana/" TargetMode="External"/><Relationship Id="rId1833" Type="http://schemas.openxmlformats.org/officeDocument/2006/relationships/hyperlink" Target="https://pbs.twimg.com/media/DsZSpNSXgAA8K9F.jpg" TargetMode="External"/><Relationship Id="rId1900" Type="http://schemas.openxmlformats.org/officeDocument/2006/relationships/hyperlink" Target="https://youtu.be/6FCEmAUEMUw" TargetMode="External"/><Relationship Id="rId2095" Type="http://schemas.openxmlformats.org/officeDocument/2006/relationships/hyperlink" Target="https://www.elmundo.es/andalucia/2018/11/19/5bf1c941268e3e13678b459f.html" TargetMode="External"/><Relationship Id="rId274" Type="http://schemas.openxmlformats.org/officeDocument/2006/relationships/hyperlink" Target="http://www.eldebatedehoy.es/" TargetMode="External"/><Relationship Id="rId481" Type="http://schemas.openxmlformats.org/officeDocument/2006/relationships/hyperlink" Target="https://www.eldiario.es/_31fba826" TargetMode="External"/><Relationship Id="rId2162" Type="http://schemas.openxmlformats.org/officeDocument/2006/relationships/hyperlink" Target="http://carlos-ortizdezarate.blogspot.com/" TargetMode="External"/><Relationship Id="rId134" Type="http://schemas.openxmlformats.org/officeDocument/2006/relationships/hyperlink" Target="https://pbs.twimg.com/media/DsrrAqaXgAEdPJ9.jpg" TargetMode="External"/><Relationship Id="rId579" Type="http://schemas.openxmlformats.org/officeDocument/2006/relationships/hyperlink" Target="https://www.huffingtonpost.es/2018/11/22/tension-entre-pepa-bueno-y-pablo-casado-desde-esperanza-aguirre-no-he-tenido-tantas-dificultades-para-hacer-preguntas_a_23596803/" TargetMode="External"/><Relationship Id="rId786" Type="http://schemas.openxmlformats.org/officeDocument/2006/relationships/hyperlink" Target="https://www.eldiario.es/politica/Pablo-Casado-exaltacion-franquismo-probidida_0_838516217.html" TargetMode="External"/><Relationship Id="rId993" Type="http://schemas.openxmlformats.org/officeDocument/2006/relationships/hyperlink" Target="https://bit.ly/2DNNJeq" TargetMode="External"/><Relationship Id="rId2467" Type="http://schemas.openxmlformats.org/officeDocument/2006/relationships/hyperlink" Target="http://elmira.es/" TargetMode="External"/><Relationship Id="rId2674" Type="http://schemas.openxmlformats.org/officeDocument/2006/relationships/hyperlink" Target="https://www.elmundo.es/andalucia/2018/11/18/5bf1600fe2704ed9718b45f0.html" TargetMode="External"/><Relationship Id="rId341" Type="http://schemas.openxmlformats.org/officeDocument/2006/relationships/hyperlink" Target="https://m.eldiario.es/31fba826_838576166/" TargetMode="External"/><Relationship Id="rId439" Type="http://schemas.openxmlformats.org/officeDocument/2006/relationships/hyperlink" Target="http://www.multiforo.eu/" TargetMode="External"/><Relationship Id="rId646" Type="http://schemas.openxmlformats.org/officeDocument/2006/relationships/hyperlink" Target="https://twitter.com/hermanntertsch/status/1065574317663154176" TargetMode="External"/><Relationship Id="rId1069" Type="http://schemas.openxmlformats.org/officeDocument/2006/relationships/hyperlink" Target="https://www.instagram.com/boroscq" TargetMode="External"/><Relationship Id="rId1276" Type="http://schemas.openxmlformats.org/officeDocument/2006/relationships/hyperlink" Target="https://twitter.com/EFEnoticias/status/1064934329271373827" TargetMode="External"/><Relationship Id="rId1483" Type="http://schemas.openxmlformats.org/officeDocument/2006/relationships/hyperlink" Target="https://www.elmundo.es/espana/2018/11/20/5bf3eb5022601d317c8b45a2.html" TargetMode="External"/><Relationship Id="rId2022" Type="http://schemas.openxmlformats.org/officeDocument/2006/relationships/hyperlink" Target="http://diario16.com/denunciado-fiscal-pidio-archivo-del-caso-master-pablo-casado/" TargetMode="External"/><Relationship Id="rId2327" Type="http://schemas.openxmlformats.org/officeDocument/2006/relationships/hyperlink" Target="http://www.diario16.com/" TargetMode="External"/><Relationship Id="rId2881"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01" Type="http://schemas.openxmlformats.org/officeDocument/2006/relationships/hyperlink" Target="http://pic.twitter.com/RnZsES9Cp3" TargetMode="External"/><Relationship Id="rId506" Type="http://schemas.openxmlformats.org/officeDocument/2006/relationships/hyperlink" Target="http://www.enblau.com/es/" TargetMode="External"/><Relationship Id="rId853" Type="http://schemas.openxmlformats.org/officeDocument/2006/relationships/hyperlink" Target="https://pbs.twimg.com/media/DsmO7-gXQAA-rPV.jpg" TargetMode="External"/><Relationship Id="rId1136" Type="http://schemas.openxmlformats.org/officeDocument/2006/relationships/hyperlink" Target="https://okdiario.com/espana/2018/11/21/casado-propone-que-jueces-elijan-cgpj-mientras-sanchez-aferra-reparto-politico-3374499" TargetMode="External"/><Relationship Id="rId1690" Type="http://schemas.openxmlformats.org/officeDocument/2006/relationships/hyperlink" Target="http://www.librediariodigital.net/texto-diario/mostrar/1207785/pablo-casado-hare-posible-impedir-salario-minimo-interprofesional-suba-900-euros" TargetMode="External"/><Relationship Id="rId1788" Type="http://schemas.openxmlformats.org/officeDocument/2006/relationships/hyperlink" Target="https://www.eldiario.es/_31e5622c" TargetMode="External"/><Relationship Id="rId1995" Type="http://schemas.openxmlformats.org/officeDocument/2006/relationships/hyperlink" Target="https://pbs.twimg.com/media/DsYET4XXoAAEapU.jpg" TargetMode="External"/><Relationship Id="rId2534" Type="http://schemas.openxmlformats.org/officeDocument/2006/relationships/hyperlink" Target="https://pbs.twimg.com/media/DsNLOnEXQAEoUnD.jpg" TargetMode="External"/><Relationship Id="rId2741" Type="http://schemas.openxmlformats.org/officeDocument/2006/relationships/hyperlink" Target="https://pbs.twimg.com/media/DsSak2gX4AAyClp.jpg" TargetMode="External"/><Relationship Id="rId2839" Type="http://schemas.openxmlformats.org/officeDocument/2006/relationships/hyperlink" Target="https://www.huffingtonpost.es/2018/11/17/pablo-casado-los-espanoles-no-colonizabamos-lo-que-haciamos-era-tener-una-espana-mas-grande_a_23592393/" TargetMode="External"/><Relationship Id="rId713" Type="http://schemas.openxmlformats.org/officeDocument/2006/relationships/hyperlink" Target="http://instagram.com/consu_gf" TargetMode="External"/><Relationship Id="rId920" Type="http://schemas.openxmlformats.org/officeDocument/2006/relationships/hyperlink" Target="http://jordipsalvador.info/" TargetMode="External"/><Relationship Id="rId1343" Type="http://schemas.openxmlformats.org/officeDocument/2006/relationships/hyperlink" Target="http://diario6.com/pablo-casado-el-hombre-que-cobra-1-842-euros-en-dietas-por-ser-diputado-por-avila-pero-que-vive-y-vota-en-madrid/" TargetMode="External"/><Relationship Id="rId1550" Type="http://schemas.openxmlformats.org/officeDocument/2006/relationships/hyperlink" Target="https://ift.tt/2PGZf1E" TargetMode="External"/><Relationship Id="rId1648" Type="http://schemas.openxmlformats.org/officeDocument/2006/relationships/hyperlink" Target="https://www.elmundo.es/espana/2018/11/20/5bf3eb5022601d317c8b45a2.html" TargetMode="External"/><Relationship Id="rId2601" Type="http://schemas.openxmlformats.org/officeDocument/2006/relationships/hyperlink" Target="http://goo.gl/Uor9D8" TargetMode="External"/><Relationship Id="rId1203" Type="http://schemas.openxmlformats.org/officeDocument/2006/relationships/hyperlink" Target="https://ift.tt/2PJ5kKL" TargetMode="External"/><Relationship Id="rId1410" Type="http://schemas.openxmlformats.org/officeDocument/2006/relationships/hyperlink" Target="https://okdiario.com/general/2018/11/19/casado-suma-idea-del-adelanto-electoral-pp-esta-preparado-ganar-3367348" TargetMode="External"/><Relationship Id="rId1508" Type="http://schemas.openxmlformats.org/officeDocument/2006/relationships/hyperlink" Target="http://dlvr.it/Qrh2ZZ" TargetMode="External"/><Relationship Id="rId1855" Type="http://schemas.openxmlformats.org/officeDocument/2006/relationships/hyperlink" Target="http://historiaignoradadelahumanidad.wordpress.com/" TargetMode="External"/><Relationship Id="rId2906" Type="http://schemas.openxmlformats.org/officeDocument/2006/relationships/hyperlink" Target="http://shr.gs/qHXeNCe" TargetMode="External"/><Relationship Id="rId1715" Type="http://schemas.openxmlformats.org/officeDocument/2006/relationships/hyperlink" Target="http://pasionxespa&#241;a.es/" TargetMode="External"/><Relationship Id="rId1922" Type="http://schemas.openxmlformats.org/officeDocument/2006/relationships/hyperlink" Target="https://www.elespanol.com/opinion/columnas/20181119/peronismo-lunares/354344566_13.html" TargetMode="External"/><Relationship Id="rId296" Type="http://schemas.openxmlformats.org/officeDocument/2006/relationships/hyperlink" Target="https://m.eldiario.es/politica/Pablo-Casado-exaltacion-franquismo-probidida_0_838516217.html" TargetMode="External"/><Relationship Id="rId2184" Type="http://schemas.openxmlformats.org/officeDocument/2006/relationships/hyperlink" Target="https://www.eldiario.es/andalucia/desdeelsur/elecciones_en_Andalucia_2018-2D-Cadiz-Euscadiz_6_837176297.html" TargetMode="External"/><Relationship Id="rId2391" Type="http://schemas.openxmlformats.org/officeDocument/2006/relationships/hyperlink" Target="https://www.huffingtonpost.es/2018/11/17/pablo-casado-los-espanoles-no-colonizabamos-lo-que-haciamos-era-tener-una-espana-mas-grande_a_23592393/" TargetMode="External"/><Relationship Id="rId156" Type="http://schemas.openxmlformats.org/officeDocument/2006/relationships/hyperlink" Target="http://explicarelpresente.wordpress.com/" TargetMode="External"/><Relationship Id="rId363" Type="http://schemas.openxmlformats.org/officeDocument/2006/relationships/hyperlink" Target="https://ift.tt/2DTTk2T" TargetMode="External"/><Relationship Id="rId570" Type="http://schemas.openxmlformats.org/officeDocument/2006/relationships/hyperlink" Target="http://pic.twitter.com/4r430H7TgN" TargetMode="External"/><Relationship Id="rId2044" Type="http://schemas.openxmlformats.org/officeDocument/2006/relationships/hyperlink" Target="http://www.techirepesca.cat/" TargetMode="External"/><Relationship Id="rId2251" Type="http://schemas.openxmlformats.org/officeDocument/2006/relationships/hyperlink" Target="https://www.elmundo.es/andalucia/2018/11/19/5bf1c941268e3e13678b459f.html" TargetMode="External"/><Relationship Id="rId2489" Type="http://schemas.openxmlformats.org/officeDocument/2006/relationships/hyperlink" Target="https://twitter.com/jpermach/status/1064221109338468353" TargetMode="External"/><Relationship Id="rId2696" Type="http://schemas.openxmlformats.org/officeDocument/2006/relationships/hyperlink" Target="https://is.gd/rvkIeV" TargetMode="External"/><Relationship Id="rId223" Type="http://schemas.openxmlformats.org/officeDocument/2006/relationships/hyperlink" Target="https://m.eldiario.es/_31fba826" TargetMode="External"/><Relationship Id="rId430" Type="http://schemas.openxmlformats.org/officeDocument/2006/relationships/hyperlink" Target="http://bit.ly/2FySLx7" TargetMode="External"/><Relationship Id="rId668" Type="http://schemas.openxmlformats.org/officeDocument/2006/relationships/hyperlink" Target="http://www.huffingtonpost.es/" TargetMode="External"/><Relationship Id="rId875" Type="http://schemas.openxmlformats.org/officeDocument/2006/relationships/hyperlink" Target="https://www.ara.cat/politica/Pablo-Casado-exaltacio-franquisme-violencia_0_2129787100.html" TargetMode="External"/><Relationship Id="rId1060" Type="http://schemas.openxmlformats.org/officeDocument/2006/relationships/hyperlink" Target="https://twitter.com/pablocasado_/status/1064961885383114754" TargetMode="External"/><Relationship Id="rId1298" Type="http://schemas.openxmlformats.org/officeDocument/2006/relationships/hyperlink" Target="https://www.vozpopuli.com/_4716e194" TargetMode="External"/><Relationship Id="rId2111" Type="http://schemas.openxmlformats.org/officeDocument/2006/relationships/hyperlink" Target="https://www.eljueves.es/news/pablo-casado-propone-invadir-polonia-para-hacer-espana-mas-grande_2959?utm_source=facebook&amp;utm_medium=social&amp;utm_campaign=trafico" TargetMode="External"/><Relationship Id="rId2349" Type="http://schemas.openxmlformats.org/officeDocument/2006/relationships/hyperlink" Target="https://www.elmundo.es/andalucia/2018/11/18/5bf1600fe2704ed9718b45f0.html" TargetMode="External"/><Relationship Id="rId2556" Type="http://schemas.openxmlformats.org/officeDocument/2006/relationships/hyperlink" Target="https://twitter.com/PPopular/status/1064175097160683520" TargetMode="External"/><Relationship Id="rId2763" Type="http://schemas.openxmlformats.org/officeDocument/2006/relationships/hyperlink" Target="https://www.elmundo.es/andalucia/2018/11/18/5bf1600fe2704ed9718b45f0.html" TargetMode="External"/><Relationship Id="rId2970" Type="http://schemas.openxmlformats.org/officeDocument/2006/relationships/hyperlink" Target="https://m.huffingtonpost.es/amp/2018/11/17/pablo-casado-los-espanoles-no-colonizabamos-lo-que-haciamos-era-tener-una-espana-mas-grande_a_23592393/?ncid=other_twitter_cooo9wqtham&amp;utm_campaign=share_twitter&amp;__twitter_impression=true" TargetMode="External"/><Relationship Id="rId528" Type="http://schemas.openxmlformats.org/officeDocument/2006/relationships/hyperlink" Target="https://youtu.be/jybqW6AZOQ0" TargetMode="External"/><Relationship Id="rId735" Type="http://schemas.openxmlformats.org/officeDocument/2006/relationships/hyperlink" Target="http://paper.li/lobo_solito/1343408781" TargetMode="External"/><Relationship Id="rId942" Type="http://schemas.openxmlformats.org/officeDocument/2006/relationships/hyperlink" Target="https://pbs.twimg.com/media/DslFSNHWoAAUNpo.jpg" TargetMode="External"/><Relationship Id="rId1158" Type="http://schemas.openxmlformats.org/officeDocument/2006/relationships/hyperlink" Target="https://youtu.be/UiFi9AAb50s" TargetMode="External"/><Relationship Id="rId1365" Type="http://schemas.openxmlformats.org/officeDocument/2006/relationships/hyperlink" Target="https://www.instagram.com/corpore.regulinchis/" TargetMode="External"/><Relationship Id="rId1572" Type="http://schemas.openxmlformats.org/officeDocument/2006/relationships/hyperlink" Target="http://www.noticiasdenavarra.com/" TargetMode="External"/><Relationship Id="rId2209" Type="http://schemas.openxmlformats.org/officeDocument/2006/relationships/hyperlink" Target="https://pbs.twimg.com/media/DsWqrMKW0AAY8JE.jpg" TargetMode="External"/><Relationship Id="rId2416" Type="http://schemas.openxmlformats.org/officeDocument/2006/relationships/hyperlink" Target="http://shr.gs/qHXeNCe" TargetMode="External"/><Relationship Id="rId2623" Type="http://schemas.openxmlformats.org/officeDocument/2006/relationships/hyperlink" Target="https://pbs.twimg.com/media/DsNLOnEXQAEoUnD.jpg" TargetMode="External"/><Relationship Id="rId1018" Type="http://schemas.openxmlformats.org/officeDocument/2006/relationships/hyperlink" Target="http://archive.org/search.php?query=%22Juan%20Manuel%20Dato%22" TargetMode="External"/><Relationship Id="rId1225" Type="http://schemas.openxmlformats.org/officeDocument/2006/relationships/hyperlink" Target="https://www.eldiario.es/escolar/mentiras-Pablo-Casado-Gurtel-Irak_6_828777140.html" TargetMode="External"/><Relationship Id="rId1432" Type="http://schemas.openxmlformats.org/officeDocument/2006/relationships/hyperlink" Target="http://dlvr.it/QrhnJv" TargetMode="External"/><Relationship Id="rId1877" Type="http://schemas.openxmlformats.org/officeDocument/2006/relationships/hyperlink" Target="http://www.zztop.es/" TargetMode="External"/><Relationship Id="rId2830"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928" Type="http://schemas.openxmlformats.org/officeDocument/2006/relationships/hyperlink" Target="https://www.lavanguardia.com/politica/20181117/452992780484/pablo-casado-espana-no-colonizaba-tener-espana-mas-grande.html?utm_campaign=botones_sociales_app&amp;utm_source=twitter&amp;utm_medium=social" TargetMode="External"/><Relationship Id="rId71" Type="http://schemas.openxmlformats.org/officeDocument/2006/relationships/hyperlink" Target="https://www.eljueves.es/vineta-del-dia/pablo-casado-tambien-podria-haber-falsificado-master_2258" TargetMode="External"/><Relationship Id="rId802" Type="http://schemas.openxmlformats.org/officeDocument/2006/relationships/hyperlink" Target="https://okdiario.com/espana/2018/11/07/pablo-casado-promete-eliminar-impuesto-actos-juridicos-documentados-3321574/amp" TargetMode="External"/><Relationship Id="rId1737" Type="http://schemas.openxmlformats.org/officeDocument/2006/relationships/hyperlink" Target="https://www.eljueves.es/news/entrevista-a-pablo-casado-vox-para-nosotros-es-como-ese-primo-que-es-tonto-culo-pero-que-tiene-buen-fondo_2936" TargetMode="External"/><Relationship Id="rId1944" Type="http://schemas.openxmlformats.org/officeDocument/2006/relationships/hyperlink" Target="https://www.elplural.com/politica/podemos-exige-explicaciones-juez-senador-altava_206632102" TargetMode="External"/><Relationship Id="rId29" Type="http://schemas.openxmlformats.org/officeDocument/2006/relationships/hyperlink" Target="https://m.eldiario.es/politica/Pablo-Casado-exaltacion-franquismo-probidida_0_838516217.html" TargetMode="External"/><Relationship Id="rId178" Type="http://schemas.openxmlformats.org/officeDocument/2006/relationships/hyperlink" Target="https://pbs.twimg.com/media/Dsrca6AWoAAwTTs.jpg" TargetMode="External"/><Relationship Id="rId1804" Type="http://schemas.openxmlformats.org/officeDocument/2006/relationships/hyperlink" Target="https://pbs.twimg.com/media/DpTC-EBUYAgGQvB.jpg" TargetMode="External"/><Relationship Id="rId385" Type="http://schemas.openxmlformats.org/officeDocument/2006/relationships/hyperlink" Target="http://www.siniestro.com/" TargetMode="External"/><Relationship Id="rId592" Type="http://schemas.openxmlformats.org/officeDocument/2006/relationships/hyperlink" Target="https://www.eldiario.es/_31fac004" TargetMode="External"/><Relationship Id="rId2066" Type="http://schemas.openxmlformats.org/officeDocument/2006/relationships/hyperlink" Target="https://www.lavanguardia.com/politica/20181117/452992780484/pablo-casado-espana-no-colonizaba-tener-espana-mas-grande.html" TargetMode="External"/><Relationship Id="rId2273" Type="http://schemas.openxmlformats.org/officeDocument/2006/relationships/hyperlink" Target="http://diario16.com/denunciado-fiscal-pidio-archivo-del-caso-master-pablo-casado/" TargetMode="External"/><Relationship Id="rId2480"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45" Type="http://schemas.openxmlformats.org/officeDocument/2006/relationships/hyperlink" Target="https://m.eldiario.es/politica/Pablo-Casado-exaltacion-franquismo-probidida_0_838516217.html" TargetMode="External"/><Relationship Id="rId452" Type="http://schemas.openxmlformats.org/officeDocument/2006/relationships/hyperlink" Target="http://lagacetadealmeria.es/pablo-casado-visita-la-provincia-de-almeria/" TargetMode="External"/><Relationship Id="rId897" Type="http://schemas.openxmlformats.org/officeDocument/2006/relationships/hyperlink" Target="http://www.publico.es/" TargetMode="External"/><Relationship Id="rId1082" Type="http://schemas.openxmlformats.org/officeDocument/2006/relationships/hyperlink" Target="http://canariasopina.com/2018/11/21/opinion-martin-ru-pablo-casado-olvido-su-primer-discurso/" TargetMode="External"/><Relationship Id="rId2133" Type="http://schemas.openxmlformats.org/officeDocument/2006/relationships/hyperlink" Target="https://bydays.com/sevilla-blog/" TargetMode="External"/><Relationship Id="rId2340" Type="http://schemas.openxmlformats.org/officeDocument/2006/relationships/hyperlink" Target="http://www.hechosdehoy.com/" TargetMode="External"/><Relationship Id="rId2578" Type="http://schemas.openxmlformats.org/officeDocument/2006/relationships/hyperlink" Target="https://paper.li/monteoscuro_/1444166708" TargetMode="External"/><Relationship Id="rId2785" Type="http://schemas.openxmlformats.org/officeDocument/2006/relationships/hyperlink" Target="https://pbs.twimg.com/media/DsSQ06VVsAAg6o7.jpg" TargetMode="External"/><Relationship Id="rId105" Type="http://schemas.openxmlformats.org/officeDocument/2006/relationships/hyperlink" Target="https://www.elconfidencial.com/espana/2018-11-23/brexit-pablo-casado-apoyo-gobierno-veto_1664574/?utm_source=twitter&amp;utm_medium=social&amp;utm_campaign=ECDiarioManual" TargetMode="External"/><Relationship Id="rId312" Type="http://schemas.openxmlformats.org/officeDocument/2006/relationships/hyperlink" Target="https://m.eldiario.es/_31fabdf9" TargetMode="External"/><Relationship Id="rId757" Type="http://schemas.openxmlformats.org/officeDocument/2006/relationships/hyperlink" Target="https://pbs.twimg.com/media/Dsm1FdHWkAEhLvN.jpg" TargetMode="External"/><Relationship Id="rId964" Type="http://schemas.openxmlformats.org/officeDocument/2006/relationships/hyperlink" Target="https://www.libertaddigital.com/espana/2018-11-21/pedro-sanchez-pide-a-casado-y-rufian-que-pidan-discupas-por-el-escupitajo-de-erc-a-borell-1276628638/" TargetMode="External"/><Relationship Id="rId1387" Type="http://schemas.openxmlformats.org/officeDocument/2006/relationships/hyperlink" Target="http://diario16.com/cosido-me-siento-plenamente-respaldado-pablo-casado/" TargetMode="External"/><Relationship Id="rId1594" Type="http://schemas.openxmlformats.org/officeDocument/2006/relationships/hyperlink" Target="http://diario16.com/cosido-me-siento-plenamente-respaldado-pablo-casado/" TargetMode="External"/><Relationship Id="rId2200" Type="http://schemas.openxmlformats.org/officeDocument/2006/relationships/hyperlink" Target="http://loquepiensalucia.blogspot.com.es/" TargetMode="External"/><Relationship Id="rId2438" Type="http://schemas.openxmlformats.org/officeDocument/2006/relationships/hyperlink" Target="http://www.guerraeterna.com/pablo-casado-contra-la-historia/" TargetMode="External"/><Relationship Id="rId2645" Type="http://schemas.openxmlformats.org/officeDocument/2006/relationships/hyperlink" Target="http://www.bobestropajo.com/" TargetMode="External"/><Relationship Id="rId2852" Type="http://schemas.openxmlformats.org/officeDocument/2006/relationships/hyperlink" Target="http://www.clinicadentalglorias.com/" TargetMode="External"/><Relationship Id="rId93" Type="http://schemas.openxmlformats.org/officeDocument/2006/relationships/hyperlink" Target="https://www.facebook.com/pages/%C3%81ngeles-Garc%C3%ADa-pinturas-OHCO/167423676660654" TargetMode="External"/><Relationship Id="rId617" Type="http://schemas.openxmlformats.org/officeDocument/2006/relationships/hyperlink" Target="https://www.eldiario.es/_31fabdf9" TargetMode="External"/><Relationship Id="rId824" Type="http://schemas.openxmlformats.org/officeDocument/2006/relationships/hyperlink" Target="https://pbs.twimg.com/media/DsmfnWQVYAAkvAm.jpg" TargetMode="External"/><Relationship Id="rId1247" Type="http://schemas.openxmlformats.org/officeDocument/2006/relationships/hyperlink" Target="http://www.lextres.com/" TargetMode="External"/><Relationship Id="rId1454" Type="http://schemas.openxmlformats.org/officeDocument/2006/relationships/hyperlink" Target="http://www.multiforo.eu/" TargetMode="External"/><Relationship Id="rId1661" Type="http://schemas.openxmlformats.org/officeDocument/2006/relationships/hyperlink" Target="https://pbs.twimg.com/media/DscAM1uXoAEyAQF.jpg" TargetMode="External"/><Relationship Id="rId1899" Type="http://schemas.openxmlformats.org/officeDocument/2006/relationships/hyperlink" Target="http://elblogdeabasolo.blogspot.com.es/" TargetMode="External"/><Relationship Id="rId2505" Type="http://schemas.openxmlformats.org/officeDocument/2006/relationships/hyperlink" Target="http://www.diariodesevilla.es/" TargetMode="External"/><Relationship Id="rId2712"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1107" Type="http://schemas.openxmlformats.org/officeDocument/2006/relationships/hyperlink" Target="https://www.elmundo.es/espana/2018/11/20/5bf3eb5022601d317c8b45a2.html" TargetMode="External"/><Relationship Id="rId1314" Type="http://schemas.openxmlformats.org/officeDocument/2006/relationships/hyperlink" Target="http://www.democraciajajaj&#225;.es/" TargetMode="External"/><Relationship Id="rId1521" Type="http://schemas.openxmlformats.org/officeDocument/2006/relationships/hyperlink" Target="https://goo.gl/images/eVveu9" TargetMode="External"/><Relationship Id="rId1759" Type="http://schemas.openxmlformats.org/officeDocument/2006/relationships/hyperlink" Target="https://pbs.twimg.com/media/DsaQULcWkAAp4Mw.jpg" TargetMode="External"/><Relationship Id="rId1966" Type="http://schemas.openxmlformats.org/officeDocument/2006/relationships/hyperlink" Target="https://twitter.com/pablocasado_/status/1064544567754657792" TargetMode="External"/><Relationship Id="rId1619" Type="http://schemas.openxmlformats.org/officeDocument/2006/relationships/hyperlink" Target="http://estoyhastalasnarices.com/" TargetMode="External"/><Relationship Id="rId1826" Type="http://schemas.openxmlformats.org/officeDocument/2006/relationships/hyperlink" Target="http://leyendoamusil.wordpress.com/" TargetMode="External"/><Relationship Id="rId20" Type="http://schemas.openxmlformats.org/officeDocument/2006/relationships/hyperlink" Target="http://bit.ly/2DT9gm0" TargetMode="External"/><Relationship Id="rId2088" Type="http://schemas.openxmlformats.org/officeDocument/2006/relationships/hyperlink" Target="http://www.eldiario.es/" TargetMode="External"/><Relationship Id="rId2295"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67" Type="http://schemas.openxmlformats.org/officeDocument/2006/relationships/hyperlink" Target="http://www.almeriahoy.com/" TargetMode="External"/><Relationship Id="rId474" Type="http://schemas.openxmlformats.org/officeDocument/2006/relationships/hyperlink" Target="https://es.noticias.yahoo.com/tensi%C3%B3n-pepa-pablo-casado-esperanza-102900929.html?soc_src=hl-viewer&amp;soc_trk=tw" TargetMode="External"/><Relationship Id="rId2155" Type="http://schemas.openxmlformats.org/officeDocument/2006/relationships/hyperlink" Target="https://www.facebook.com/campamentoamigo15m" TargetMode="External"/><Relationship Id="rId127" Type="http://schemas.openxmlformats.org/officeDocument/2006/relationships/hyperlink" Target="http://veoinfo.com/" TargetMode="External"/><Relationship Id="rId681" Type="http://schemas.openxmlformats.org/officeDocument/2006/relationships/hyperlink" Target="https://m.eldiario.es/_31fabdf9" TargetMode="External"/><Relationship Id="rId779" Type="http://schemas.openxmlformats.org/officeDocument/2006/relationships/hyperlink" Target="http://bit.ly/2QeP6bV" TargetMode="External"/><Relationship Id="rId986" Type="http://schemas.openxmlformats.org/officeDocument/2006/relationships/hyperlink" Target="http://www.ascodevida.com/usuarios/parado" TargetMode="External"/><Relationship Id="rId2362" Type="http://schemas.openxmlformats.org/officeDocument/2006/relationships/hyperlink" Target="http://www.eldebatedehoy.es/" TargetMode="External"/><Relationship Id="rId2667" Type="http://schemas.openxmlformats.org/officeDocument/2006/relationships/hyperlink" Target="https://www.elespanol.com/espana/politica/20181118/pablo-casado-chantajista-clientelar-susana-diaz-andalucia/354214915_0.html" TargetMode="External"/><Relationship Id="rId334" Type="http://schemas.openxmlformats.org/officeDocument/2006/relationships/hyperlink" Target="https://m.eldiario.es/31fac11c_838517020/" TargetMode="External"/><Relationship Id="rId541" Type="http://schemas.openxmlformats.org/officeDocument/2006/relationships/hyperlink" Target="https://www.europapress.es/castilla-y-leon/noticia-fernandez-manueco-llama-populares-llevar-volandas-pablo-casado-moncloa-20181122202252.html" TargetMode="External"/><Relationship Id="rId639" Type="http://schemas.openxmlformats.org/officeDocument/2006/relationships/hyperlink" Target="https://m.eldiario.es/31fabdf9_838516217/" TargetMode="External"/><Relationship Id="rId1171" Type="http://schemas.openxmlformats.org/officeDocument/2006/relationships/hyperlink" Target="http://www.cambio16.com/" TargetMode="External"/><Relationship Id="rId1269" Type="http://schemas.openxmlformats.org/officeDocument/2006/relationships/hyperlink" Target="https://twitter.com/EFEnoticias/status/1064934329271373827" TargetMode="External"/><Relationship Id="rId1476" Type="http://schemas.openxmlformats.org/officeDocument/2006/relationships/hyperlink" Target="http://www.patadecabra.es/" TargetMode="External"/><Relationship Id="rId2015" Type="http://schemas.openxmlformats.org/officeDocument/2006/relationships/hyperlink" Target="http://confidencialandaluz.com/author/sanchezfornet/" TargetMode="External"/><Relationship Id="rId2222" Type="http://schemas.openxmlformats.org/officeDocument/2006/relationships/hyperlink" Target="http://www.ap.org/" TargetMode="External"/><Relationship Id="rId2874" Type="http://schemas.openxmlformats.org/officeDocument/2006/relationships/hyperlink" Target="https://pbs.twimg.com/media/DsRuE-gWwAIx3wM.jpg" TargetMode="External"/><Relationship Id="rId401" Type="http://schemas.openxmlformats.org/officeDocument/2006/relationships/hyperlink" Target="http://www.huffingtonpost.es/" TargetMode="External"/><Relationship Id="rId846" Type="http://schemas.openxmlformats.org/officeDocument/2006/relationships/hyperlink" Target="https://www.moncloa.com/jaime-santos-pablo-casado-madrid/" TargetMode="External"/><Relationship Id="rId1031" Type="http://schemas.openxmlformats.org/officeDocument/2006/relationships/hyperlink" Target="https://elpais.com/politica/2018/11/20/actualidad/1542754334_277796.html" TargetMode="External"/><Relationship Id="rId1129" Type="http://schemas.openxmlformats.org/officeDocument/2006/relationships/hyperlink" Target="http://diario6.com/pablo-casado-el-hombre-que-cobra-1-842-euros-en-dietas-por-ser-diputado-por-avila-pero-que-vive-y-vota-en-madrid/" TargetMode="External"/><Relationship Id="rId1683" Type="http://schemas.openxmlformats.org/officeDocument/2006/relationships/hyperlink" Target="https://www.eljueves.es/news/pablo-casado-propone-invadir-polonia-para-hacer-espana-mas-grande_2959" TargetMode="External"/><Relationship Id="rId1890" Type="http://schemas.openxmlformats.org/officeDocument/2006/relationships/hyperlink" Target="http://edumenorca.blogspot.com/" TargetMode="External"/><Relationship Id="rId1988" Type="http://schemas.openxmlformats.org/officeDocument/2006/relationships/hyperlink" Target="http://pic.twitter.com/gvGgoGG0fG" TargetMode="External"/><Relationship Id="rId2527" Type="http://schemas.openxmlformats.org/officeDocument/2006/relationships/hyperlink" Target="https://www.republica.com/2018/11/18/pablo-casado-acusa-a-pedro-sanchez-de-traicion-por-no-exigir-un-gibraltar-espanol/" TargetMode="External"/><Relationship Id="rId2734"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941"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706" Type="http://schemas.openxmlformats.org/officeDocument/2006/relationships/hyperlink" Target="http://pic.twitter.com/8FZQxix76j" TargetMode="External"/><Relationship Id="rId913" Type="http://schemas.openxmlformats.org/officeDocument/2006/relationships/hyperlink" Target="https://pbs.twimg.com/media/Dsl7nsSUUAECU-9.jpg" TargetMode="External"/><Relationship Id="rId1336" Type="http://schemas.openxmlformats.org/officeDocument/2006/relationships/hyperlink" Target="https://telegram.me/ecorepublicano" TargetMode="External"/><Relationship Id="rId1543" Type="http://schemas.openxmlformats.org/officeDocument/2006/relationships/hyperlink" Target="https://www.elmundo.es/espana/2018/11/20/5bf3eb5022601d317c8b45a2.html" TargetMode="External"/><Relationship Id="rId1750" Type="http://schemas.openxmlformats.org/officeDocument/2006/relationships/hyperlink" Target="http://democraciarealya.es/" TargetMode="External"/><Relationship Id="rId2801" Type="http://schemas.openxmlformats.org/officeDocument/2006/relationships/hyperlink" Target="http://elpais.com/autor/natalia_junquera/a/" TargetMode="External"/><Relationship Id="rId42" Type="http://schemas.openxmlformats.org/officeDocument/2006/relationships/hyperlink" Target="https://www.instagram.com/davidrodriguez2407/" TargetMode="External"/><Relationship Id="rId1403" Type="http://schemas.openxmlformats.org/officeDocument/2006/relationships/hyperlink" Target="https://www.facebook.com/745374768843987/posts/2026090044105780/" TargetMode="External"/><Relationship Id="rId1610" Type="http://schemas.openxmlformats.org/officeDocument/2006/relationships/hyperlink" Target="http://diario16.com/denunciado-fiscal-pidio-archivo-del-caso-master-pablo-casado/" TargetMode="External"/><Relationship Id="rId1848" Type="http://schemas.openxmlformats.org/officeDocument/2006/relationships/hyperlink" Target="https://m.facebook.com/profile.php?id=145247678954411" TargetMode="External"/><Relationship Id="rId191" Type="http://schemas.openxmlformats.org/officeDocument/2006/relationships/hyperlink" Target="https://www.eldiario.es/_31fac11c" TargetMode="External"/><Relationship Id="rId1708" Type="http://schemas.openxmlformats.org/officeDocument/2006/relationships/hyperlink" Target="https://www.voxespana.es/albacete" TargetMode="External"/><Relationship Id="rId1915" Type="http://schemas.openxmlformats.org/officeDocument/2006/relationships/hyperlink" Target="http://www.elperiodico.com/es/politica" TargetMode="External"/><Relationship Id="rId289" Type="http://schemas.openxmlformats.org/officeDocument/2006/relationships/hyperlink" Target="http://pic.twitter.com/Oi585k6kZf" TargetMode="External"/><Relationship Id="rId496" Type="http://schemas.openxmlformats.org/officeDocument/2006/relationships/hyperlink" Target="http://www.pajinawes.com/" TargetMode="External"/><Relationship Id="rId2177" Type="http://schemas.openxmlformats.org/officeDocument/2006/relationships/hyperlink" Target="http://diario16.com/denunciado-fiscal-pidio-archivo-del-caso-master-pablo-casado/" TargetMode="External"/><Relationship Id="rId2384" Type="http://schemas.openxmlformats.org/officeDocument/2006/relationships/hyperlink" Target="http://www.andaluciacentro.com/cordoba/lucena/noticias/12570/pablo-casado-culpa-al-psoe-en-lucena-de-aprovecharse-de-los-votos-y-traer-el-desastre-a-andalucia" TargetMode="External"/><Relationship Id="rId2591"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149" Type="http://schemas.openxmlformats.org/officeDocument/2006/relationships/hyperlink" Target="https://m.eldiario.es/_31fabdf9" TargetMode="External"/><Relationship Id="rId356" Type="http://schemas.openxmlformats.org/officeDocument/2006/relationships/hyperlink" Target="https://spanishpolice.github.io/" TargetMode="External"/><Relationship Id="rId563" Type="http://schemas.openxmlformats.org/officeDocument/2006/relationships/hyperlink" Target="https://www.lasexta.com/noticias/nacional/pablo-casado-justifica-su-abstencion-en-la-mocion-contra-el-franquismo-querian-polarizar-el-debate-en-plenas-elecciones-andaluzas-video_201811225bf6cfff0cf21dead6c04f58.html" TargetMode="External"/><Relationship Id="rId770" Type="http://schemas.openxmlformats.org/officeDocument/2006/relationships/hyperlink" Target="https://m.eldiario.es/_31fabdf9" TargetMode="External"/><Relationship Id="rId1193" Type="http://schemas.openxmlformats.org/officeDocument/2006/relationships/hyperlink" Target="https://youtu.be/96kKaNMl8Ro" TargetMode="External"/><Relationship Id="rId2037" Type="http://schemas.openxmlformats.org/officeDocument/2006/relationships/hyperlink" Target="http://diario16.com/denunciado-fiscal-pidio-archivo-del-caso-master-pablo-casado/" TargetMode="External"/><Relationship Id="rId2244" Type="http://schemas.openxmlformats.org/officeDocument/2006/relationships/hyperlink" Target="https://pbs.twimg.com/media/DsWbc6yXgAEmgx3.jpg" TargetMode="External"/><Relationship Id="rId2451" Type="http://schemas.openxmlformats.org/officeDocument/2006/relationships/hyperlink" Target="http://www.instagram.com/a_b43" TargetMode="External"/><Relationship Id="rId2689" Type="http://schemas.openxmlformats.org/officeDocument/2006/relationships/hyperlink" Target="https://www.facebook.com/pages/Artesan%C3%ADa-La-Posada/117671151644345" TargetMode="External"/><Relationship Id="rId2896" Type="http://schemas.openxmlformats.org/officeDocument/2006/relationships/hyperlink" Target="https://m.huffingtonpost.es/amp/2018/11/17/pablo-casado-los-espanoles-no-colonizabamos-lo-que-haciamos-era-tener-una-espana-mas-grande_a_23592393/?ncid=other_twitter_cooo9wqtham&amp;utm_campaign=share_twitter&amp;__twitter_impression=true" TargetMode="External"/><Relationship Id="rId216" Type="http://schemas.openxmlformats.org/officeDocument/2006/relationships/hyperlink" Target="http://bit.ly/2FySLx7" TargetMode="External"/><Relationship Id="rId423" Type="http://schemas.openxmlformats.org/officeDocument/2006/relationships/hyperlink" Target="https://www.eldiario.es/politica/Pablo-Casado-exaltacion-franquismo-probidida_0_838516217.html" TargetMode="External"/><Relationship Id="rId868" Type="http://schemas.openxmlformats.org/officeDocument/2006/relationships/hyperlink" Target="http://m.sanacio-holistica-aguila-blanca.es/" TargetMode="External"/><Relationship Id="rId1053" Type="http://schemas.openxmlformats.org/officeDocument/2006/relationships/hyperlink" Target="http://elgranangular.wordpress.com/" TargetMode="External"/><Relationship Id="rId1260" Type="http://schemas.openxmlformats.org/officeDocument/2006/relationships/hyperlink" Target="http://pic.twitter.com/bIaLS6yaPf" TargetMode="External"/><Relationship Id="rId1498" Type="http://schemas.openxmlformats.org/officeDocument/2006/relationships/hyperlink" Target="http://enrique2311.wordpress.com/" TargetMode="External"/><Relationship Id="rId2104" Type="http://schemas.openxmlformats.org/officeDocument/2006/relationships/hyperlink" Target="https://m.huffingtonpost.es/amp/2018/11/17/pablo-casado-los-espanoles-no-colonizabamos-lo-que-haciamos-era-tener-una-espana-mas-grande_a_23592393/?ncid=other_twitter_cooo9wqtham&amp;utm_campaign=share_twitter&amp;__twitter_impression=true" TargetMode="External"/><Relationship Id="rId2549" Type="http://schemas.openxmlformats.org/officeDocument/2006/relationships/hyperlink" Target="http://dld.bz/hfybh" TargetMode="External"/><Relationship Id="rId2756" Type="http://schemas.openxmlformats.org/officeDocument/2006/relationships/hyperlink" Target="http://blogs.libertaddigital.com/enigmas-del-11-m/pablo-casado-entrega-la-justicia-a-pedro-sanchez-15104/" TargetMode="External"/><Relationship Id="rId2963" Type="http://schemas.openxmlformats.org/officeDocument/2006/relationships/hyperlink" Target="http://pablomartinezcalleja.blogspot.de/" TargetMode="External"/><Relationship Id="rId630" Type="http://schemas.openxmlformats.org/officeDocument/2006/relationships/hyperlink" Target="https://m.eldiario.es/_31fabdf9" TargetMode="External"/><Relationship Id="rId728" Type="http://schemas.openxmlformats.org/officeDocument/2006/relationships/hyperlink" Target="http://curiouscat.me/escuchame_una_cosa" TargetMode="External"/><Relationship Id="rId935" Type="http://schemas.openxmlformats.org/officeDocument/2006/relationships/hyperlink" Target="https://www.moncloa.com/jaime-santos-pablo-casado-madrid/" TargetMode="External"/><Relationship Id="rId1358" Type="http://schemas.openxmlformats.org/officeDocument/2006/relationships/hyperlink" Target="https://www.elplural.com/opinion/los-calvitos/pablo-casado-el-gracioso_206717102" TargetMode="External"/><Relationship Id="rId1565" Type="http://schemas.openxmlformats.org/officeDocument/2006/relationships/hyperlink" Target="http://www.publico.es/" TargetMode="External"/><Relationship Id="rId1772" Type="http://schemas.openxmlformats.org/officeDocument/2006/relationships/hyperlink" Target="http://pic.twitter.com/p4jBaNkQap" TargetMode="External"/><Relationship Id="rId2311" Type="http://schemas.openxmlformats.org/officeDocument/2006/relationships/hyperlink" Target="http://liverdades.com/" TargetMode="External"/><Relationship Id="rId2409" Type="http://schemas.openxmlformats.org/officeDocument/2006/relationships/hyperlink" Target="http://diario6.com/pablo-casado-al-igual-que-cospedal-tambien-se-reunio-con-villarejo/" TargetMode="External"/><Relationship Id="rId2616" Type="http://schemas.openxmlformats.org/officeDocument/2006/relationships/hyperlink" Target="http://www.populareslosbarrios.es/index.php" TargetMode="External"/><Relationship Id="rId64" Type="http://schemas.openxmlformats.org/officeDocument/2006/relationships/hyperlink" Target="https://m.eldiario.es/_31fabdf9" TargetMode="External"/><Relationship Id="rId1120" Type="http://schemas.openxmlformats.org/officeDocument/2006/relationships/hyperlink" Target="http://pic.twitter.com/qeFKcACOML" TargetMode="External"/><Relationship Id="rId1218" Type="http://schemas.openxmlformats.org/officeDocument/2006/relationships/hyperlink" Target="http://www.diariodeuntranseunte.es/" TargetMode="External"/><Relationship Id="rId1425" Type="http://schemas.openxmlformats.org/officeDocument/2006/relationships/hyperlink" Target="https://pbs.twimg.com/media/DsdnyszWwAEJnyf.jpg" TargetMode="External"/><Relationship Id="rId2823" Type="http://schemas.openxmlformats.org/officeDocument/2006/relationships/hyperlink" Target="https://twitter.com/frandelgval/status/1064068011672387584?s=19" TargetMode="External"/><Relationship Id="rId1632" Type="http://schemas.openxmlformats.org/officeDocument/2006/relationships/hyperlink" Target="https://pbs.twimg.com/media/DscVODaWsAYtwOA.jpg" TargetMode="External"/><Relationship Id="rId1937" Type="http://schemas.openxmlformats.org/officeDocument/2006/relationships/hyperlink" Target="http://es-la.facebook.com/cecilio.castro.777" TargetMode="External"/><Relationship Id="rId2199" Type="http://schemas.openxmlformats.org/officeDocument/2006/relationships/hyperlink" Target="https://amp.elmundo.es/espana/2018/11/19/5bf1c398268e3e627c8b4589.html?__twitter_impression=true" TargetMode="External"/><Relationship Id="rId280" Type="http://schemas.openxmlformats.org/officeDocument/2006/relationships/hyperlink" Target="http://cronicasdesdelacosta.blogspot.com/" TargetMode="External"/><Relationship Id="rId140" Type="http://schemas.openxmlformats.org/officeDocument/2006/relationships/hyperlink" Target="http://m.sanacio-holistica-aguila-blanca.es/" TargetMode="External"/><Relationship Id="rId378" Type="http://schemas.openxmlformats.org/officeDocument/2006/relationships/hyperlink" Target="http://bit.ly/2FABK5z" TargetMode="External"/><Relationship Id="rId585" Type="http://schemas.openxmlformats.org/officeDocument/2006/relationships/hyperlink" Target="https://www.eldiario.es/_31fabdf9" TargetMode="External"/><Relationship Id="rId792" Type="http://schemas.openxmlformats.org/officeDocument/2006/relationships/hyperlink" Target="http://eldiario.es/" TargetMode="External"/><Relationship Id="rId2059" Type="http://schemas.openxmlformats.org/officeDocument/2006/relationships/hyperlink" Target="https://www.curiosfera.com/historia-del-inodoro/" TargetMode="External"/><Relationship Id="rId2266" Type="http://schemas.openxmlformats.org/officeDocument/2006/relationships/hyperlink" Target="http://www.corruptil.com/" TargetMode="External"/><Relationship Id="rId2473" Type="http://schemas.openxmlformats.org/officeDocument/2006/relationships/hyperlink" Target="https://www.20minutos.es/noticia/3494665/0/pablo-casado-reivindica-gibraltar-espanol-culpa-sanchez-traicion/?utm_source=twitter.com&amp;utm_medium=socialshare&amp;utm_campaign=mobile_amp" TargetMode="External"/><Relationship Id="rId2680" Type="http://schemas.openxmlformats.org/officeDocument/2006/relationships/hyperlink" Target="https://www.antena3.com/noticias/espana/pedro-sanchez-avisa-ciudadanos-subira-salario-minimo-video_201811185bf16a980cf2265d3004da36.html" TargetMode="External"/><Relationship Id="rId6" Type="http://schemas.openxmlformats.org/officeDocument/2006/relationships/hyperlink" Target="http://dlvr.it/QrxGC2" TargetMode="External"/><Relationship Id="rId238" Type="http://schemas.openxmlformats.org/officeDocument/2006/relationships/hyperlink" Target="http://pradoalberdi.wordpress.com/" TargetMode="External"/><Relationship Id="rId445" Type="http://schemas.openxmlformats.org/officeDocument/2006/relationships/hyperlink" Target="https://www.huffingtonpost.es/2018/11/22/tension-entre-pepa-bueno-y-pablo-casado-desde-esperanza-aguirre-no-he-tenido-tantas-dificultades-para-hacer-preguntas_a_23596803/" TargetMode="External"/><Relationship Id="rId652" Type="http://schemas.openxmlformats.org/officeDocument/2006/relationships/hyperlink" Target="https://www.eldiario.es/politica/Pablo-Casado-exaltacion-franquismo-probidida_0_838516217.html" TargetMode="External"/><Relationship Id="rId1075" Type="http://schemas.openxmlformats.org/officeDocument/2006/relationships/hyperlink" Target="http://www.facebook.com/RafaelHernandoPP" TargetMode="External"/><Relationship Id="rId1282" Type="http://schemas.openxmlformats.org/officeDocument/2006/relationships/hyperlink" Target="https://twitter.com/pablocasado_/status/1064961885383114754" TargetMode="External"/><Relationship Id="rId2126" Type="http://schemas.openxmlformats.org/officeDocument/2006/relationships/hyperlink" Target="http://madrid.democraciarealya.es/" TargetMode="External"/><Relationship Id="rId2333" Type="http://schemas.openxmlformats.org/officeDocument/2006/relationships/hyperlink" Target="https://www.hechosdehoy.com/pablo-casado-lucha-por-tres-escanos-decisivos-para-derrotar-al-psoe-70190.htm" TargetMode="External"/><Relationship Id="rId2540" Type="http://schemas.openxmlformats.org/officeDocument/2006/relationships/hyperlink" Target="https://somoscastillalamancha.com/clm/pablo-casado-abrira-el-12-de-diciembre-el-ii-congreso-internacional-de-afammer-con-una-charla-sobre-libertad-e-igualdad/" TargetMode="External"/><Relationship Id="rId2778" Type="http://schemas.openxmlformats.org/officeDocument/2006/relationships/hyperlink" Target="https://www.lavanguardia.com/politica/20181117/452992780484/pablo-casado-espana-no-colonizaba-tener-espana-mas-grande.html?utm_source=facebook&amp;utm_medium=social&amp;utm_content=politica&amp;utm_campaign=lv" TargetMode="External"/><Relationship Id="rId305" Type="http://schemas.openxmlformats.org/officeDocument/2006/relationships/hyperlink" Target="https://m.eldiario.es/_31fabdf9" TargetMode="External"/><Relationship Id="rId512" Type="http://schemas.openxmlformats.org/officeDocument/2006/relationships/hyperlink" Target="http://www.ctxt.es/" TargetMode="External"/><Relationship Id="rId957" Type="http://schemas.openxmlformats.org/officeDocument/2006/relationships/hyperlink" Target="https://twitter.com/ErnestoEkaizer/status/1065360735218409477" TargetMode="External"/><Relationship Id="rId1142" Type="http://schemas.openxmlformats.org/officeDocument/2006/relationships/hyperlink" Target="http://www.eldiario.es/politica/PP-ilegalizacion-organizaciones-comunistas-populistas_0_837817434.html" TargetMode="External"/><Relationship Id="rId1587" Type="http://schemas.openxmlformats.org/officeDocument/2006/relationships/hyperlink" Target="http://diario16.com/cosido-me-sien" TargetMode="External"/><Relationship Id="rId1794" Type="http://schemas.openxmlformats.org/officeDocument/2006/relationships/hyperlink" Target="http://www.doblerhuelva.es/" TargetMode="External"/><Relationship Id="rId2400" Type="http://schemas.openxmlformats.org/officeDocument/2006/relationships/hyperlink" Target="http://shr.gs/WJjPhZi" TargetMode="External"/><Relationship Id="rId2638" Type="http://schemas.openxmlformats.org/officeDocument/2006/relationships/hyperlink" Target="http://pic.twitter.com/hazhfQacg8" TargetMode="External"/><Relationship Id="rId2845" Type="http://schemas.openxmlformats.org/officeDocument/2006/relationships/hyperlink" Target="https://pbs.twimg.com/media/DsR4KrtWsAAfRvn.jpg" TargetMode="External"/><Relationship Id="rId86" Type="http://schemas.openxmlformats.org/officeDocument/2006/relationships/hyperlink" Target="https://www.eljueves.es/news/pablo-casado-intenta-comprar-remesa-esclavos-black-friday_2970" TargetMode="External"/><Relationship Id="rId817" Type="http://schemas.openxmlformats.org/officeDocument/2006/relationships/hyperlink" Target="http://www.slaymultimedios.com/" TargetMode="External"/><Relationship Id="rId1002" Type="http://schemas.openxmlformats.org/officeDocument/2006/relationships/hyperlink" Target="https://www.libertaddigital.com/espana/2018-11-21/pedro-sanchez-pide-a-casado-y-rufian-que-pidan-discupas-por-el-escupitajo-de-erc-a-borell-1276628638/" TargetMode="External"/><Relationship Id="rId1447" Type="http://schemas.openxmlformats.org/officeDocument/2006/relationships/hyperlink" Target="http://www.radiolecostaluz.com/" TargetMode="External"/><Relationship Id="rId1654" Type="http://schemas.openxmlformats.org/officeDocument/2006/relationships/hyperlink" Target="http://diario16.com/denunciado-fiscal-pidio-archivo-del-caso-master-pablo-casado/" TargetMode="External"/><Relationship Id="rId1861" Type="http://schemas.openxmlformats.org/officeDocument/2006/relationships/hyperlink" Target="https://telegram.me/ecorepublicano" TargetMode="External"/><Relationship Id="rId2705" Type="http://schemas.openxmlformats.org/officeDocument/2006/relationships/hyperlink" Target="http://www.lavanguardia.com/" TargetMode="External"/><Relationship Id="rId2912" Type="http://schemas.openxmlformats.org/officeDocument/2006/relationships/hyperlink" Target="http://master-colourscience.eu/programme/who-are-we/" TargetMode="External"/><Relationship Id="rId1307" Type="http://schemas.openxmlformats.org/officeDocument/2006/relationships/hyperlink" Target="http://antoniobernabe.net/" TargetMode="External"/><Relationship Id="rId1514" Type="http://schemas.openxmlformats.org/officeDocument/2006/relationships/hyperlink" Target="http://ow.ly/G4qN30mGrbJ" TargetMode="External"/><Relationship Id="rId1721" Type="http://schemas.openxmlformats.org/officeDocument/2006/relationships/hyperlink" Target="http://cadenaser.com/" TargetMode="External"/><Relationship Id="rId1959" Type="http://schemas.openxmlformats.org/officeDocument/2006/relationships/hyperlink" Target="https://pbs.twimg.com/media/DsYcGAJWsAEfeWF.jpg" TargetMode="External"/><Relationship Id="rId13" Type="http://schemas.openxmlformats.org/officeDocument/2006/relationships/hyperlink" Target="http://noticiasgibraltar.es/" TargetMode="External"/><Relationship Id="rId1819" Type="http://schemas.openxmlformats.org/officeDocument/2006/relationships/hyperlink" Target="https://www.facebook.com/podemosrepoblarpueblos" TargetMode="External"/><Relationship Id="rId2190" Type="http://schemas.openxmlformats.org/officeDocument/2006/relationships/hyperlink" Target="https://pbs.twimg.com/media/DsWv7WiWkAEAndA.jpg" TargetMode="External"/><Relationship Id="rId2288" Type="http://schemas.openxmlformats.org/officeDocument/2006/relationships/hyperlink" Target="https://www.vozpopuli.com/_470db73f" TargetMode="External"/><Relationship Id="rId2495" Type="http://schemas.openxmlformats.org/officeDocument/2006/relationships/hyperlink" Target="https://www.instagram.com/pabloaguilarmarin/?hl=es" TargetMode="External"/><Relationship Id="rId162" Type="http://schemas.openxmlformats.org/officeDocument/2006/relationships/hyperlink" Target="https://elsaltodiario.com/el-salmon-contracorriente" TargetMode="External"/><Relationship Id="rId467" Type="http://schemas.openxmlformats.org/officeDocument/2006/relationships/hyperlink" Target="http://www.converxencia.eu/" TargetMode="External"/><Relationship Id="rId1097" Type="http://schemas.openxmlformats.org/officeDocument/2006/relationships/hyperlink" Target="https://www.vozpopuli.com/_4716e194" TargetMode="External"/><Relationship Id="rId2050" Type="http://schemas.openxmlformats.org/officeDocument/2006/relationships/hyperlink" Target="http://www.elmundo.es/espana/2018/11/16/5bef3941e5fdea79548b45c7.html" TargetMode="External"/><Relationship Id="rId2148" Type="http://schemas.openxmlformats.org/officeDocument/2006/relationships/hyperlink" Target="https://pbs.twimg.com/media/DsWuoI9WkAINRV_.jpg" TargetMode="External"/><Relationship Id="rId674" Type="http://schemas.openxmlformats.org/officeDocument/2006/relationships/hyperlink" Target="https://www.elmundo.es/espana/2018/11/21/5bf52116268e3e98538b45df.html" TargetMode="External"/><Relationship Id="rId881" Type="http://schemas.openxmlformats.org/officeDocument/2006/relationships/hyperlink" Target="https://pbs.twimg.com/media/DsmEJIMVYAAj35m.jpg" TargetMode="External"/><Relationship Id="rId979" Type="http://schemas.openxmlformats.org/officeDocument/2006/relationships/hyperlink" Target="https://twitter.com/gsemprunmdg/status/1065362622613196800" TargetMode="External"/><Relationship Id="rId2355" Type="http://schemas.openxmlformats.org/officeDocument/2006/relationships/hyperlink" Target="https://twitter.com/antonioperal/status/1064103915057283072" TargetMode="External"/><Relationship Id="rId2562" Type="http://schemas.openxmlformats.org/officeDocument/2006/relationships/hyperlink" Target="https://m.huffingtonpost.es/amp/2018/11/17/pablo-casado-los-espanoles-no-colonizabamos-lo-que-haciamos-era-tener-una-espana-mas-grande_a_23592393/?__twitter_impression=true" TargetMode="External"/><Relationship Id="rId327" Type="http://schemas.openxmlformats.org/officeDocument/2006/relationships/hyperlink" Target="https://www.huffingtonpost.es/2018/11/22/pablo-casado-rechaza-el-whatsapp-sobre-los-jueces-y-cree-que-no-lo-escribio-cosido_a_23596700/?ncid=other_twitter_cooo9wqtham&amp;utm_campaign=share_twitter" TargetMode="External"/><Relationship Id="rId534" Type="http://schemas.openxmlformats.org/officeDocument/2006/relationships/hyperlink" Target="http://ontheroadtoday.com/news/fernandez-manueco-llama-a-los-populares-a-llevar-en-volandas-a-pablo-casado-a-la-moncloa/" TargetMode="External"/><Relationship Id="rId741" Type="http://schemas.openxmlformats.org/officeDocument/2006/relationships/hyperlink" Target="https://www.eldiario.es/politica/Pablo-Casado-exaltacion-franquismo-probidida_0_838516217.html" TargetMode="External"/><Relationship Id="rId839" Type="http://schemas.openxmlformats.org/officeDocument/2006/relationships/hyperlink" Target="https://bit.ly/2BoZaqy" TargetMode="External"/><Relationship Id="rId1164" Type="http://schemas.openxmlformats.org/officeDocument/2006/relationships/hyperlink" Target="http://cataladigital.cat/2018/11/21/las-20-frases-mas-surrealistas-de-pablo-casado/" TargetMode="External"/><Relationship Id="rId1371" Type="http://schemas.openxmlformats.org/officeDocument/2006/relationships/hyperlink" Target="http://shr.gs/OTOq8Nk" TargetMode="External"/><Relationship Id="rId1469" Type="http://schemas.openxmlformats.org/officeDocument/2006/relationships/hyperlink" Target="https://pbs.twimg.com/media/DsdOr8sXcAAg9GY.jpg" TargetMode="External"/><Relationship Id="rId2008"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215" Type="http://schemas.openxmlformats.org/officeDocument/2006/relationships/hyperlink" Target="https://m.eldiario.es/_316622b4" TargetMode="External"/><Relationship Id="rId2422" Type="http://schemas.openxmlformats.org/officeDocument/2006/relationships/hyperlink" Target="http://manugey.tumblr.com/" TargetMode="External"/><Relationship Id="rId2867" Type="http://schemas.openxmlformats.org/officeDocument/2006/relationships/hyperlink" Target="https://laicismo.org/?p=189020" TargetMode="External"/><Relationship Id="rId601" Type="http://schemas.openxmlformats.org/officeDocument/2006/relationships/hyperlink" Target="http://compromisperpaterna.com/" TargetMode="External"/><Relationship Id="rId1024" Type="http://schemas.openxmlformats.org/officeDocument/2006/relationships/hyperlink" Target="http://www.ivoox.com/30241713" TargetMode="External"/><Relationship Id="rId1231" Type="http://schemas.openxmlformats.org/officeDocument/2006/relationships/hyperlink" Target="https://pbs.twimg.com/media/DshE2S_XQAADBCf.jpg" TargetMode="External"/><Relationship Id="rId1676" Type="http://schemas.openxmlformats.org/officeDocument/2006/relationships/hyperlink" Target="http://www.eldebatedehoy.es/" TargetMode="External"/><Relationship Id="rId1883" Type="http://schemas.openxmlformats.org/officeDocument/2006/relationships/hyperlink" Target="https://www.eldiario.es/_31e5622c" TargetMode="External"/><Relationship Id="rId2727" Type="http://schemas.openxmlformats.org/officeDocument/2006/relationships/hyperlink" Target="http://www.guerraeterna.com/pablo-casado-contra-la-historia/" TargetMode="External"/><Relationship Id="rId2934" Type="http://schemas.openxmlformats.org/officeDocument/2006/relationships/hyperlink" Target="http://malagactualidad.es/item/20273-el-sur-espinoso-de-pablo-casado.html" TargetMode="External"/><Relationship Id="rId906" Type="http://schemas.openxmlformats.org/officeDocument/2006/relationships/hyperlink" Target="http://cadenaser.com/programa/2018/11/21/hoy_por_hoy/1542803484_524062.html?ssm=tw-hxh" TargetMode="External"/><Relationship Id="rId1329" Type="http://schemas.openxmlformats.org/officeDocument/2006/relationships/hyperlink" Target="https://twitter.com/donarfonzo/timelines/732468888500211712" TargetMode="External"/><Relationship Id="rId1536" Type="http://schemas.openxmlformats.org/officeDocument/2006/relationships/hyperlink" Target="https://pbs.twimg.com/media/Dscv_sAX4AAQcw9.jpg" TargetMode="External"/><Relationship Id="rId1743" Type="http://schemas.openxmlformats.org/officeDocument/2006/relationships/hyperlink" Target="https://lopezbulla.blogspot.com/2018/11/las-violetas-imperiales-de-pablo-casado.html" TargetMode="External"/><Relationship Id="rId1950" Type="http://schemas.openxmlformats.org/officeDocument/2006/relationships/hyperlink" Target="https://www.instagram.com/p/BpEcWJ3llsIgc52QGCEtuRfSHN11hxMkKnz-H00/?utm_source=ig_share_sheet&amp;igshi" TargetMode="External"/><Relationship Id="rId35" Type="http://schemas.openxmlformats.org/officeDocument/2006/relationships/hyperlink" Target="http://pic.twitter.com/RnZsES9Cp3" TargetMode="External"/><Relationship Id="rId1603" Type="http://schemas.openxmlformats.org/officeDocument/2006/relationships/hyperlink" Target="https://pbs.twimg.com/media/DscefuzWkAA7HNb.jpg" TargetMode="External"/><Relationship Id="rId1810" Type="http://schemas.openxmlformats.org/officeDocument/2006/relationships/hyperlink" Target="http://about.me/jpbellido" TargetMode="External"/><Relationship Id="rId184" Type="http://schemas.openxmlformats.org/officeDocument/2006/relationships/hyperlink" Target="http://www.ecopanaderia.com/" TargetMode="External"/><Relationship Id="rId391" Type="http://schemas.openxmlformats.org/officeDocument/2006/relationships/hyperlink" Target="https://www.eldiario.es/_31fabdf9" TargetMode="External"/><Relationship Id="rId1908" Type="http://schemas.openxmlformats.org/officeDocument/2006/relationships/hyperlink" Target="https://www.eldiario.es/_31e5622c" TargetMode="External"/><Relationship Id="rId2072" Type="http://schemas.openxmlformats.org/officeDocument/2006/relationships/hyperlink" Target="http://diario16.com/denunciado-fiscal-pidio-archivo-del-caso-master-pablo-casado/" TargetMode="External"/><Relationship Id="rId251" Type="http://schemas.openxmlformats.org/officeDocument/2006/relationships/hyperlink" Target="http://blogs.ua.es/jdjdjp/category/vision-de-la-universidad/" TargetMode="External"/><Relationship Id="rId489" Type="http://schemas.openxmlformats.org/officeDocument/2006/relationships/hyperlink" Target="http://www.youtube.com/user/TheXabatz" TargetMode="External"/><Relationship Id="rId696" Type="http://schemas.openxmlformats.org/officeDocument/2006/relationships/hyperlink" Target="http://eldiario.es/" TargetMode="External"/><Relationship Id="rId2377" Type="http://schemas.openxmlformats.org/officeDocument/2006/relationships/hyperlink" Target="https://www.lavanguardia.com/politica/20181118/453010973750/pablo-casado-nuevo-155-catalunya-andalucia-ilegalizar-cup.html" TargetMode="External"/><Relationship Id="rId2584" Type="http://schemas.openxmlformats.org/officeDocument/2006/relationships/hyperlink" Target="https://www.lavanguardia.com/politica/20181118/453013354456/elecciones-andalucia-pedro-sanchez-pablo-casado-albert-rivera.html?utm_source=twitter_lv&amp;utm_medium=social" TargetMode="External"/><Relationship Id="rId2791" Type="http://schemas.openxmlformats.org/officeDocument/2006/relationships/hyperlink" Target="http://www.guerraeterna.com/" TargetMode="External"/><Relationship Id="rId349" Type="http://schemas.openxmlformats.org/officeDocument/2006/relationships/hyperlink" Target="https://m.eldiario.es/politica/Pablo-Casado-exaltacion-franquismo-probidida_0_838516217.html" TargetMode="External"/><Relationship Id="rId556" Type="http://schemas.openxmlformats.org/officeDocument/2006/relationships/hyperlink" Target="http://www.memoriahistorica.org/" TargetMode="External"/><Relationship Id="rId763" Type="http://schemas.openxmlformats.org/officeDocument/2006/relationships/hyperlink" Target="http://www.eldiario.es/" TargetMode="External"/><Relationship Id="rId1186" Type="http://schemas.openxmlformats.org/officeDocument/2006/relationships/hyperlink" Target="https://m.eldiario.es/politica/Casado-aprovecha-Senado-proponer-CGPJ_0_837817427.html" TargetMode="External"/><Relationship Id="rId1393" Type="http://schemas.openxmlformats.org/officeDocument/2006/relationships/hyperlink" Target="https://pbs.twimg.com/media/DseBLfmXoAcTj1A.jpg" TargetMode="External"/><Relationship Id="rId2237" Type="http://schemas.openxmlformats.org/officeDocument/2006/relationships/hyperlink" Target="http://blogs.libertaddigital.com/enigmas-del-11-m/" TargetMode="External"/><Relationship Id="rId2444" Type="http://schemas.openxmlformats.org/officeDocument/2006/relationships/hyperlink" Target="http://bit.ly/2BdUzas" TargetMode="External"/><Relationship Id="rId2889" Type="http://schemas.openxmlformats.org/officeDocument/2006/relationships/hyperlink" Target="http://ow.ly/l83T30mETne" TargetMode="External"/><Relationship Id="rId111" Type="http://schemas.openxmlformats.org/officeDocument/2006/relationships/hyperlink" Target="https://pbs.twimg.com/media/DsrzAWBXQAELv0u.jpg" TargetMode="External"/><Relationship Id="rId209" Type="http://schemas.openxmlformats.org/officeDocument/2006/relationships/hyperlink" Target="http://pic.twitter.com/DJDh9Em9EV" TargetMode="External"/><Relationship Id="rId416" Type="http://schemas.openxmlformats.org/officeDocument/2006/relationships/hyperlink" Target="http://vsco.co/mahalocean" TargetMode="External"/><Relationship Id="rId970" Type="http://schemas.openxmlformats.org/officeDocument/2006/relationships/hyperlink" Target="https://www.libertaddigital.com/espana/2018-11-21/pedro-sanchez-pide-a-casado-y-rufian-que-pidan-discupas-por-el-escupitajo-de-erc-a-borell-1276628638/" TargetMode="External"/><Relationship Id="rId1046" Type="http://schemas.openxmlformats.org/officeDocument/2006/relationships/hyperlink" Target="https://www.facebook.com/psoefondon/videos/2225190841140280/" TargetMode="External"/><Relationship Id="rId1253" Type="http://schemas.openxmlformats.org/officeDocument/2006/relationships/hyperlink" Target="https://ift.tt/2FxKR79" TargetMode="External"/><Relationship Id="rId1698" Type="http://schemas.openxmlformats.org/officeDocument/2006/relationships/hyperlink" Target="http://cadenaser.com/ser/2018/11/20/politica/1542699324_507305.html?ssm=tw" TargetMode="External"/><Relationship Id="rId2651"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749" Type="http://schemas.openxmlformats.org/officeDocument/2006/relationships/hyperlink" Target="https://www.libertaddigital.com/opinion/federico-jimenez-losantos/el-misterio-del-suicidio-de-casado-con-el-veneno-de-rajoy-86505/" TargetMode="External"/><Relationship Id="rId2956" Type="http://schemas.openxmlformats.org/officeDocument/2006/relationships/hyperlink" Target="https://www.vozpopuli.com/_47092341" TargetMode="External"/><Relationship Id="rId623" Type="http://schemas.openxmlformats.org/officeDocument/2006/relationships/hyperlink" Target="http://juliocasarrubios.blogspot.com.es/" TargetMode="External"/><Relationship Id="rId830" Type="http://schemas.openxmlformats.org/officeDocument/2006/relationships/hyperlink" Target="http://www.lasexta.com/" TargetMode="External"/><Relationship Id="rId928" Type="http://schemas.openxmlformats.org/officeDocument/2006/relationships/hyperlink" Target="https://www.huffingtonpost.es/2018/10/28/ana-pastor-pone-contra-las-cuerdas-a-pablo-casado-en-el-objetivo-con-esta-pregunta_a_23574310/" TargetMode="External"/><Relationship Id="rId1460" Type="http://schemas.openxmlformats.org/officeDocument/2006/relationships/hyperlink" Target="http://www.nuevatribuna.es/" TargetMode="External"/><Relationship Id="rId1558" Type="http://schemas.openxmlformats.org/officeDocument/2006/relationships/hyperlink" Target="http://partidorepes.wordpress.com/" TargetMode="External"/><Relationship Id="rId1765" Type="http://schemas.openxmlformats.org/officeDocument/2006/relationships/hyperlink" Target="https://youtu.be/gBj1ZEfTu1o" TargetMode="External"/><Relationship Id="rId2304" Type="http://schemas.openxmlformats.org/officeDocument/2006/relationships/hyperlink" Target="https://www.lasexta.com/noticias/nacional/elecciones-andalucia/gibraltar-espanol-el-mantra-de-pablo-casado-en-la-campana-para-las-elecciones-de-andalucia-2018-video_201811185bf16cd80cf2c5d6155e70fe.html" TargetMode="External"/><Relationship Id="rId2511" Type="http://schemas.openxmlformats.org/officeDocument/2006/relationships/hyperlink" Target="https://www.facebook.com/barbie.felizindahause?ref=tn_tnmn" TargetMode="External"/><Relationship Id="rId2609" Type="http://schemas.openxmlformats.org/officeDocument/2006/relationships/hyperlink" Target="http://goo.gl/alerts/sUsJd" TargetMode="External"/><Relationship Id="rId57" Type="http://schemas.openxmlformats.org/officeDocument/2006/relationships/hyperlink" Target="https://www.eldiario.es/_31fabdf9" TargetMode="External"/><Relationship Id="rId1113" Type="http://schemas.openxmlformats.org/officeDocument/2006/relationships/hyperlink" Target="http://bit.ly/2QXgbNV" TargetMode="External"/><Relationship Id="rId1320" Type="http://schemas.openxmlformats.org/officeDocument/2006/relationships/hyperlink" Target="https://www.antena3.com/noticias/espana/enmienda-vocales-cgpj-pacto-psoe-video_201811205bf485570cf2c5d615622f14.html" TargetMode="External"/><Relationship Id="rId1418" Type="http://schemas.openxmlformats.org/officeDocument/2006/relationships/hyperlink" Target="http://www.tribunazamora.com/" TargetMode="External"/><Relationship Id="rId1972" Type="http://schemas.openxmlformats.org/officeDocument/2006/relationships/hyperlink" Target="http://calaixinformatiu.wordpress.com/" TargetMode="External"/><Relationship Id="rId2816"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1625" Type="http://schemas.openxmlformats.org/officeDocument/2006/relationships/hyperlink" Target="https://itunes.apple.com/es/book/gettysburg-1863/id665369445?mt=11" TargetMode="External"/><Relationship Id="rId1832" Type="http://schemas.openxmlformats.org/officeDocument/2006/relationships/hyperlink" Target="http://es-la.facebook.com/cecilio.castro.777" TargetMode="External"/><Relationship Id="rId2094" Type="http://schemas.openxmlformats.org/officeDocument/2006/relationships/hyperlink" Target="http://www.periodistadigital.com/politica/partidos-politicos/2018/11/19/ana-isabel-perez-pp-asamblea-madrid-diputada-madrid-central-carmena-pablo-casado-angel-garrido.shtml" TargetMode="External"/><Relationship Id="rId273" Type="http://schemas.openxmlformats.org/officeDocument/2006/relationships/hyperlink" Target="https://www.ivoox.com/1-juan-pablo-fusi-su-historia-audios-mp3_rf_30262966_1.html" TargetMode="External"/><Relationship Id="rId480" Type="http://schemas.openxmlformats.org/officeDocument/2006/relationships/hyperlink" Target="http://www.marianom.es/" TargetMode="External"/><Relationship Id="rId2161" Type="http://schemas.openxmlformats.org/officeDocument/2006/relationships/hyperlink" Target="http://www.lacasademitia.es/articulo/politica/pablo-casado-historia/20181119084844087100.html" TargetMode="External"/><Relationship Id="rId2399" Type="http://schemas.openxmlformats.org/officeDocument/2006/relationships/hyperlink" Target="https://www.elmundo.es/andalucia/2018/11/18/5bf1600fe2704ed9718b45f0.html" TargetMode="External"/><Relationship Id="rId133" Type="http://schemas.openxmlformats.org/officeDocument/2006/relationships/hyperlink" Target="https://www.eldiario.es/_31fba826" TargetMode="External"/><Relationship Id="rId340" Type="http://schemas.openxmlformats.org/officeDocument/2006/relationships/hyperlink" Target="http://cecilionieto.blogspot.com.es/" TargetMode="External"/><Relationship Id="rId578" Type="http://schemas.openxmlformats.org/officeDocument/2006/relationships/hyperlink" Target="https://www.eldiario.es/politica/Pablo-Casado-exaltacion-franquismo-probidida_0_838516217.html" TargetMode="External"/><Relationship Id="rId785" Type="http://schemas.openxmlformats.org/officeDocument/2006/relationships/hyperlink" Target="http://instagram.com/ramonMLGA" TargetMode="External"/><Relationship Id="rId992" Type="http://schemas.openxmlformats.org/officeDocument/2006/relationships/hyperlink" Target="http://bit.ly/2aBX4nT" TargetMode="External"/><Relationship Id="rId2021" Type="http://schemas.openxmlformats.org/officeDocument/2006/relationships/hyperlink" Target="https://diario6.com/pablo-casado-al-igual-que-cospedal-tambien-se-reunio-con-villarejo/" TargetMode="External"/><Relationship Id="rId2259" Type="http://schemas.openxmlformats.org/officeDocument/2006/relationships/hyperlink" Target="http://paper.li/lobo_solito/1343408781" TargetMode="External"/><Relationship Id="rId2466" Type="http://schemas.openxmlformats.org/officeDocument/2006/relationships/hyperlink" Target="http://alexplusextend.blogspot.com.es/" TargetMode="External"/><Relationship Id="rId2673" Type="http://schemas.openxmlformats.org/officeDocument/2006/relationships/hyperlink" Target="http://www.servimedia.es/" TargetMode="External"/><Relationship Id="rId2880" Type="http://schemas.openxmlformats.org/officeDocument/2006/relationships/hyperlink" Target="https://okdiario.com/espana/andalucia/2018/11/18/casado-llama-concentrar-pp-todo-voto-util-derecha-arrebatar-andalucia-psoe-3363474" TargetMode="External"/><Relationship Id="rId200" Type="http://schemas.openxmlformats.org/officeDocument/2006/relationships/hyperlink" Target="https://twitter.com/psoe/status/1065897759910346752?s=21" TargetMode="External"/><Relationship Id="rId438" Type="http://schemas.openxmlformats.org/officeDocument/2006/relationships/hyperlink" Target="https://www.eldiario.es/_31fabdf9" TargetMode="External"/><Relationship Id="rId645" Type="http://schemas.openxmlformats.org/officeDocument/2006/relationships/hyperlink" Target="http://www.elpais.com/" TargetMode="External"/><Relationship Id="rId852" Type="http://schemas.openxmlformats.org/officeDocument/2006/relationships/hyperlink" Target="http://autillotwitt.blogspot.com/" TargetMode="External"/><Relationship Id="rId1068" Type="http://schemas.openxmlformats.org/officeDocument/2006/relationships/hyperlink" Target="https://www.elmundo.es/espana/2018/11/20/5bf4064222601d460c8b45ee.html" TargetMode="External"/><Relationship Id="rId1275" Type="http://schemas.openxmlformats.org/officeDocument/2006/relationships/hyperlink" Target="https://jotapov.com/2018/11/20/ignacio-aguado-se-marca-un-pablo-casado-y-tampoco-puede-definir-a-vox-ideologicamente/" TargetMode="External"/><Relationship Id="rId1482" Type="http://schemas.openxmlformats.org/officeDocument/2006/relationships/hyperlink" Target="http://pic.twitter.com/jl1DXtXZKA" TargetMode="External"/><Relationship Id="rId2119" Type="http://schemas.openxmlformats.org/officeDocument/2006/relationships/hyperlink" Target="http://diario16.com/denunciado-fiscal-pidio-archivo-del-caso-master-pablo-casado/" TargetMode="External"/><Relationship Id="rId2326" Type="http://schemas.openxmlformats.org/officeDocument/2006/relationships/hyperlink" Target="http://diario16.com/denunciado-fiscal-pidio-archivo-del-caso-master-pablo-casado/" TargetMode="External"/><Relationship Id="rId2533" Type="http://schemas.openxmlformats.org/officeDocument/2006/relationships/hyperlink" Target="http://www.facebook.com/JavierBlanco.NET" TargetMode="External"/><Relationship Id="rId2740" Type="http://schemas.openxmlformats.org/officeDocument/2006/relationships/hyperlink" Target="http://supertiebreak.es/" TargetMode="External"/><Relationship Id="rId505" Type="http://schemas.openxmlformats.org/officeDocument/2006/relationships/hyperlink" Target="http://bit.ly/2FySLx7" TargetMode="External"/><Relationship Id="rId712" Type="http://schemas.openxmlformats.org/officeDocument/2006/relationships/hyperlink" Target="https://m.eldiario.es/politica/Pablo-Casado-exaltacion-franquismo-probidida_0_838516217.html" TargetMode="External"/><Relationship Id="rId1135" Type="http://schemas.openxmlformats.org/officeDocument/2006/relationships/hyperlink" Target="https://okdiario.com/espana/2018/11/21/casado-propone-que-jueces-elijan-cgpj-mientras-sanchez-aferra-reparto-politico-3374499" TargetMode="External"/><Relationship Id="rId1342" Type="http://schemas.openxmlformats.org/officeDocument/2006/relationships/hyperlink" Target="https://www.eldiario.es/_31f01088" TargetMode="External"/><Relationship Id="rId1787" Type="http://schemas.openxmlformats.org/officeDocument/2006/relationships/hyperlink" Target="https://diario6.com/pablo-casado-al-igual-que-cospedal-tambien-se-reunio-con-villarejo/" TargetMode="External"/><Relationship Id="rId1994" Type="http://schemas.openxmlformats.org/officeDocument/2006/relationships/hyperlink" Target="http://bit.ly/2R0qmS0" TargetMode="External"/><Relationship Id="rId2838" Type="http://schemas.openxmlformats.org/officeDocument/2006/relationships/hyperlink" Target="https://www.diariocordoba.com/noticias/2d-elecciones-andaluzas/pablo-casado-apoya-iglesia-gestione-mezquita-catedral_1264871.html" TargetMode="External"/><Relationship Id="rId79" Type="http://schemas.openxmlformats.org/officeDocument/2006/relationships/hyperlink" Target="https://pbs.twimg.com/media/Dsr9nzlWsAEfZId.jpg" TargetMode="External"/><Relationship Id="rId1202" Type="http://schemas.openxmlformats.org/officeDocument/2006/relationships/hyperlink" Target="http://pic.twitter.com/O5ExNinJLh" TargetMode="External"/><Relationship Id="rId1647" Type="http://schemas.openxmlformats.org/officeDocument/2006/relationships/hyperlink" Target="http://www.elmundo.es/" TargetMode="External"/><Relationship Id="rId1854" Type="http://schemas.openxmlformats.org/officeDocument/2006/relationships/hyperlink" Target="http://pedrobadia.wordpress.com/" TargetMode="External"/><Relationship Id="rId2600" Type="http://schemas.openxmlformats.org/officeDocument/2006/relationships/hyperlink" Target="http://blogs.libertaddigital.com/enigmas-del-11-m/pablo-casado-entrega-la-justicia-a-pedro-sanchez-15104/" TargetMode="External"/><Relationship Id="rId2905" Type="http://schemas.openxmlformats.org/officeDocument/2006/relationships/hyperlink" Target="https://www.huffingtonpost.es/2018/11/17/pablo-casado-los-espanoles-no-colonizabamos-lo-que-haciamos-era-tener-una-espana-mas-grande_a_23592393/" TargetMode="External"/><Relationship Id="rId1507" Type="http://schemas.openxmlformats.org/officeDocument/2006/relationships/hyperlink" Target="http://www.redninjastudio.com/" TargetMode="External"/><Relationship Id="rId1714" Type="http://schemas.openxmlformats.org/officeDocument/2006/relationships/hyperlink" Target="http://pic.twitter.com/XCb6dk5SpI" TargetMode="External"/><Relationship Id="rId295" Type="http://schemas.openxmlformats.org/officeDocument/2006/relationships/hyperlink" Target="http://pic.twitter.com/s3EFshS8Vt" TargetMode="External"/><Relationship Id="rId1921" Type="http://schemas.openxmlformats.org/officeDocument/2006/relationships/hyperlink" Target="https://www.elespanol.com/espana/politica/20181119/controlaremos-sala-segunda-cosido-justificando-psoe-cgpj/354214577_0.html" TargetMode="External"/><Relationship Id="rId2183" Type="http://schemas.openxmlformats.org/officeDocument/2006/relationships/hyperlink" Target="http://www.ciudadrealdigital.es/" TargetMode="External"/><Relationship Id="rId2390" Type="http://schemas.openxmlformats.org/officeDocument/2006/relationships/hyperlink" Target="http://rafaelfiglesias.wordpress.com/" TargetMode="External"/><Relationship Id="rId2488" Type="http://schemas.openxmlformats.org/officeDocument/2006/relationships/hyperlink" Target="http://shr.gs/qHXeNCe" TargetMode="External"/><Relationship Id="rId155" Type="http://schemas.openxmlformats.org/officeDocument/2006/relationships/hyperlink" Target="https://www.ivoox.com/30262966" TargetMode="External"/><Relationship Id="rId362" Type="http://schemas.openxmlformats.org/officeDocument/2006/relationships/hyperlink" Target="http://www.cambio16.com/" TargetMode="External"/><Relationship Id="rId1297" Type="http://schemas.openxmlformats.org/officeDocument/2006/relationships/hyperlink" Target="http://www.facebook.com/fernando.jimenez.12720" TargetMode="External"/><Relationship Id="rId2043" Type="http://schemas.openxmlformats.org/officeDocument/2006/relationships/hyperlink" Target="https://curiouscat.me/CabreraTechiCF/post/710561464?t=1542634015" TargetMode="External"/><Relationship Id="rId2250" Type="http://schemas.openxmlformats.org/officeDocument/2006/relationships/hyperlink" Target="http://pic.twitter.com/Bs7vLl71Rc" TargetMode="External"/><Relationship Id="rId2695" Type="http://schemas.openxmlformats.org/officeDocument/2006/relationships/hyperlink" Target="http://www.guerraeterna.com/pablo-casado-contra-la-historia/" TargetMode="External"/><Relationship Id="rId222" Type="http://schemas.openxmlformats.org/officeDocument/2006/relationships/hyperlink" Target="http://carlos-ortizdezarate.blogspot.com/" TargetMode="External"/><Relationship Id="rId667" Type="http://schemas.openxmlformats.org/officeDocument/2006/relationships/hyperlink" Target="https://pbs.twimg.com/media/DsnR3sEW0AAd22W.jpg" TargetMode="External"/><Relationship Id="rId874" Type="http://schemas.openxmlformats.org/officeDocument/2006/relationships/hyperlink" Target="http://www.eljueves.es/" TargetMode="External"/><Relationship Id="rId2110" Type="http://schemas.openxmlformats.org/officeDocument/2006/relationships/hyperlink" Target="https://www.eljueves.es/news/pablo-casado-propone-invadir-polonia-para-hacer-espana-mas-grande_2959" TargetMode="External"/><Relationship Id="rId2348" Type="http://schemas.openxmlformats.org/officeDocument/2006/relationships/hyperlink" Target="http://www.ruizjimenez.es/" TargetMode="External"/><Relationship Id="rId2555" Type="http://schemas.openxmlformats.org/officeDocument/2006/relationships/hyperlink" Target="https://pbs.twimg.com/media/DsTOf_hVYAAPhns.jpg" TargetMode="External"/><Relationship Id="rId2762" Type="http://schemas.openxmlformats.org/officeDocument/2006/relationships/hyperlink" Target="http://www.elmundo.es/" TargetMode="External"/><Relationship Id="rId527" Type="http://schemas.openxmlformats.org/officeDocument/2006/relationships/hyperlink" Target="https://pbs.twimg.com/media/DsoXWCcWsAAC0nP.jpg" TargetMode="External"/><Relationship Id="rId734" Type="http://schemas.openxmlformats.org/officeDocument/2006/relationships/hyperlink" Target="https://ift.tt/2r1GQxI" TargetMode="External"/><Relationship Id="rId941" Type="http://schemas.openxmlformats.org/officeDocument/2006/relationships/hyperlink" Target="http://www.notivenezuela.com/" TargetMode="External"/><Relationship Id="rId1157" Type="http://schemas.openxmlformats.org/officeDocument/2006/relationships/hyperlink" Target="http://www.elisadocio.com/" TargetMode="External"/><Relationship Id="rId1364" Type="http://schemas.openxmlformats.org/officeDocument/2006/relationships/hyperlink" Target="https://buff.ly/2PD85xk" TargetMode="External"/><Relationship Id="rId1571" Type="http://schemas.openxmlformats.org/officeDocument/2006/relationships/hyperlink" Target="https://www.noticiasdenavarra.com/2018/11/20/politica/estado/cosido-no-ha-plantea-dimitir-y-se-siente-respaldado-por-pablo-casado-" TargetMode="External"/><Relationship Id="rId2208" Type="http://schemas.openxmlformats.org/officeDocument/2006/relationships/hyperlink" Target="http://www.nievesconcostrina.es/" TargetMode="External"/><Relationship Id="rId2415" Type="http://schemas.openxmlformats.org/officeDocument/2006/relationships/hyperlink" Target="http://historiaycomic.com/" TargetMode="External"/><Relationship Id="rId2622" Type="http://schemas.openxmlformats.org/officeDocument/2006/relationships/hyperlink" Target="http://listas.20minutos.es/otros/" TargetMode="External"/><Relationship Id="rId70" Type="http://schemas.openxmlformats.org/officeDocument/2006/relationships/hyperlink" Target="https://www.elconfidencial.com/espana/2018-11-23/brexit-pablo-casado-apoyo-gobierno-veto_1664574/" TargetMode="External"/><Relationship Id="rId801" Type="http://schemas.openxmlformats.org/officeDocument/2006/relationships/hyperlink" Target="http://s215.photobucket.com/user/falcata_cota35/library/?sort=9&amp;page=1" TargetMode="External"/><Relationship Id="rId1017" Type="http://schemas.openxmlformats.org/officeDocument/2006/relationships/hyperlink" Target="https://pbs.twimg.com/media/Dsh6kRfWwAA0EDv.jpg" TargetMode="External"/><Relationship Id="rId1224" Type="http://schemas.openxmlformats.org/officeDocument/2006/relationships/hyperlink" Target="http://www.europapress.es/andalucia/" TargetMode="External"/><Relationship Id="rId1431" Type="http://schemas.openxmlformats.org/officeDocument/2006/relationships/hyperlink" Target="https://www.nuevatribuna.es/opinion/jose-luis-lopez-bulla/violetas-imperiales-pablo-casado/20181120103644157616.html" TargetMode="External"/><Relationship Id="rId1669" Type="http://schemas.openxmlformats.org/officeDocument/2006/relationships/hyperlink" Target="http://diario16.com/denunciado-fiscal-pidio-archivo-del-caso-master-pablo-casado/" TargetMode="External"/><Relationship Id="rId1876" Type="http://schemas.openxmlformats.org/officeDocument/2006/relationships/hyperlink" Target="https://pbs.twimg.com/media/DsYYnOkU8AYpbnC.jpg" TargetMode="External"/><Relationship Id="rId2927" Type="http://schemas.openxmlformats.org/officeDocument/2006/relationships/hyperlink" Target="http://blogs.libertaddigital.com/enigmas-del-11-m/pablo-casado-entrega-la-justicia-a-pedro-sanchez-15104/" TargetMode="External"/><Relationship Id="rId1529" Type="http://schemas.openxmlformats.org/officeDocument/2006/relationships/hyperlink" Target="http://dlvr.it/Qrgy1H" TargetMode="External"/><Relationship Id="rId1736" Type="http://schemas.openxmlformats.org/officeDocument/2006/relationships/hyperlink" Target="https://www.eljueves.es/news/pablo-casado-propone-invadir-polonia-para-hacer-espana-mas-grande_2959" TargetMode="External"/><Relationship Id="rId1943" Type="http://schemas.openxmlformats.org/officeDocument/2006/relationships/hyperlink" Target="http://instagram.com/j.maria_d" TargetMode="External"/><Relationship Id="rId28" Type="http://schemas.openxmlformats.org/officeDocument/2006/relationships/hyperlink" Target="https://pbs.twimg.com/media/DssSRhlWsAExK40.jpg" TargetMode="External"/><Relationship Id="rId1803" Type="http://schemas.openxmlformats.org/officeDocument/2006/relationships/hyperlink" Target="https://twitter.com/ecorepublicano/status/1050678992771067904" TargetMode="External"/><Relationship Id="rId177" Type="http://schemas.openxmlformats.org/officeDocument/2006/relationships/hyperlink" Target="https://www.eldiario.es/andalucia/Elecciones_en_Andalucia_2018-Juan_Manuel_Moreno-2D_0_838517020.html" TargetMode="External"/><Relationship Id="rId384" Type="http://schemas.openxmlformats.org/officeDocument/2006/relationships/hyperlink" Target="https://pbs.twimg.com/media/DsplLf5V4AASj3l.jpg" TargetMode="External"/><Relationship Id="rId591" Type="http://schemas.openxmlformats.org/officeDocument/2006/relationships/hyperlink" Target="https://pbs.twimg.com/media/Dsm-11UXQAEEick.jpg" TargetMode="External"/><Relationship Id="rId2065" Type="http://schemas.openxmlformats.org/officeDocument/2006/relationships/hyperlink" Target="https://www.facebook.com/sepuedealmassora/" TargetMode="External"/><Relationship Id="rId2272" Type="http://schemas.openxmlformats.org/officeDocument/2006/relationships/hyperlink" Target="http://www.nuevarevolucion.es/" TargetMode="External"/><Relationship Id="rId244" Type="http://schemas.openxmlformats.org/officeDocument/2006/relationships/hyperlink" Target="http://instagram.com/ramonMLGA" TargetMode="External"/><Relationship Id="rId689" Type="http://schemas.openxmlformats.org/officeDocument/2006/relationships/hyperlink" Target="http://www.advertia.net/" TargetMode="External"/><Relationship Id="rId896" Type="http://schemas.openxmlformats.org/officeDocument/2006/relationships/hyperlink" Target="http://www.socialistasdepinto.com/" TargetMode="External"/><Relationship Id="rId1081" Type="http://schemas.openxmlformats.org/officeDocument/2006/relationships/hyperlink" Target="http://www.ctxt.es/" TargetMode="External"/><Relationship Id="rId2577" Type="http://schemas.openxmlformats.org/officeDocument/2006/relationships/hyperlink" Target="http://www.mhuel.org/" TargetMode="External"/><Relationship Id="rId2784" Type="http://schemas.openxmlformats.org/officeDocument/2006/relationships/hyperlink" Target="http://dlvr.it/QrWlTd" TargetMode="External"/><Relationship Id="rId451" Type="http://schemas.openxmlformats.org/officeDocument/2006/relationships/hyperlink" Target="http://www.lagacetadealmeria.com/" TargetMode="External"/><Relationship Id="rId549" Type="http://schemas.openxmlformats.org/officeDocument/2006/relationships/hyperlink" Target="https://www.huffingtonpost.es/2018/11/22/tension-entre-pepa-bueno-y-pablo-casado-desde-esperanza-aguirre-no-he-tenido-tantas-dificultades-para-hacer-preguntas_a_23596803/?ncid=other_twitter_cooo9wqtham&amp;utm_campaign=share_twitter" TargetMode="External"/><Relationship Id="rId756" Type="http://schemas.openxmlformats.org/officeDocument/2006/relationships/hyperlink" Target="http://g&#233;nova.su/" TargetMode="External"/><Relationship Id="rId1179" Type="http://schemas.openxmlformats.org/officeDocument/2006/relationships/hyperlink" Target="https://www.facebook.com/pablo.echenique/" TargetMode="External"/><Relationship Id="rId1386" Type="http://schemas.openxmlformats.org/officeDocument/2006/relationships/hyperlink" Target="https://stopsucesiones.org/%f0%9f%9b%91el-presidente-del-partido-popular-pablo-casado-se-compromete-con-stop-sucesiones-a-suprimir-el-impuesto-a-las-herencias-en-toda-espana/" TargetMode="External"/><Relationship Id="rId1593" Type="http://schemas.openxmlformats.org/officeDocument/2006/relationships/hyperlink" Target="http://www.diario16.com/" TargetMode="External"/><Relationship Id="rId2132" Type="http://schemas.openxmlformats.org/officeDocument/2006/relationships/hyperlink" Target="https://bydays.com/sevilla-blog/pedro-sanchez-acusa-a-pp-y-ciudadanos-de-que-ser-responsables-del-ascensode-la-extrema-derecha/" TargetMode="External"/><Relationship Id="rId2437" Type="http://schemas.openxmlformats.org/officeDocument/2006/relationships/hyperlink" Target="https://okdiario.com/autor/liberal" TargetMode="External"/><Relationship Id="rId104" Type="http://schemas.openxmlformats.org/officeDocument/2006/relationships/hyperlink" Target="https://www.eldiario.es/escolar/Pablo-Casado-Poder-Judicial-Cosido_6_838576166.html" TargetMode="External"/><Relationship Id="rId311" Type="http://schemas.openxmlformats.org/officeDocument/2006/relationships/hyperlink" Target="https://www.eldiario.es/_31fba826" TargetMode="External"/><Relationship Id="rId409" Type="http://schemas.openxmlformats.org/officeDocument/2006/relationships/hyperlink" Target="http://facebook.com/Carmendelia.Ferrer" TargetMode="External"/><Relationship Id="rId963" Type="http://schemas.openxmlformats.org/officeDocument/2006/relationships/hyperlink" Target="http://myreverseblog.wordpress.com/" TargetMode="External"/><Relationship Id="rId1039" Type="http://schemas.openxmlformats.org/officeDocument/2006/relationships/hyperlink" Target="http://www.entornointeligente.com/" TargetMode="External"/><Relationship Id="rId1246" Type="http://schemas.openxmlformats.org/officeDocument/2006/relationships/hyperlink" Target="https://www.lavanguardia.com/politica/20181121/453077420673/congreso-diputados-sesion-control-gobierno-pedro-sanchez-hoy-en-directo.html?utm_source=twitter_lv&amp;utm_medium=social" TargetMode="External"/><Relationship Id="rId1898" Type="http://schemas.openxmlformats.org/officeDocument/2006/relationships/hyperlink" Target="https://www.eljueves.es/news/pablo-casado-propone-invadir-polonia-para-hacer-espana-mas-grande_2959?utm_source=facebook&amp;utm_medium=social&amp;utm_campaign=trafico" TargetMode="External"/><Relationship Id="rId2644" Type="http://schemas.openxmlformats.org/officeDocument/2006/relationships/hyperlink" Target="http://regueldosmentales.blogspot.com/" TargetMode="External"/><Relationship Id="rId2851" Type="http://schemas.openxmlformats.org/officeDocument/2006/relationships/hyperlink" Target="http://www.librediariodigital.net/texto-diario/mostrar/1207785/pablo-casado-hare-posible-impedir-salario-minimo-interprofesional-suba-900-euros" TargetMode="External"/><Relationship Id="rId2949" Type="http://schemas.openxmlformats.org/officeDocument/2006/relationships/hyperlink" Target="http://www.lluisbrunet.cat/" TargetMode="External"/><Relationship Id="rId92" Type="http://schemas.openxmlformats.org/officeDocument/2006/relationships/hyperlink" Target="https://diario6.com/pablo-casado-el-hombre-que-cobra-1-842-euros-en-dietas-por-ser-diputado-por-avila-pero-que-vive-y-vota-en-madrid/" TargetMode="External"/><Relationship Id="rId616" Type="http://schemas.openxmlformats.org/officeDocument/2006/relationships/hyperlink" Target="http://pic.twitter.com/aus61eTLx4" TargetMode="External"/><Relationship Id="rId823" Type="http://schemas.openxmlformats.org/officeDocument/2006/relationships/hyperlink" Target="http://dlvr.it/QrrLCV" TargetMode="External"/><Relationship Id="rId1453" Type="http://schemas.openxmlformats.org/officeDocument/2006/relationships/hyperlink" Target="https://pbs.twimg.com/media/DsdQI2eW0AA2KyS.jpg" TargetMode="External"/><Relationship Id="rId1660" Type="http://schemas.openxmlformats.org/officeDocument/2006/relationships/hyperlink" Target="http://loxema.es/" TargetMode="External"/><Relationship Id="rId1758" Type="http://schemas.openxmlformats.org/officeDocument/2006/relationships/hyperlink" Target="https://www.20minutos.es/noticia/3494665/0/pablo-casado-reivindica-gibraltar-espanol-culpa-sanchez-traicion/" TargetMode="External"/><Relationship Id="rId2504" Type="http://schemas.openxmlformats.org/officeDocument/2006/relationships/hyperlink" Target="http://ddsevilla.info/h3qz71" TargetMode="External"/><Relationship Id="rId2711" Type="http://schemas.openxmlformats.org/officeDocument/2006/relationships/hyperlink" Target="http://www.noticias24horas.com/" TargetMode="External"/><Relationship Id="rId2809" Type="http://schemas.openxmlformats.org/officeDocument/2006/relationships/hyperlink" Target="https://pbs.twimg.com/media/DsSFxBnXoAA50Lw.jpg" TargetMode="External"/><Relationship Id="rId1106" Type="http://schemas.openxmlformats.org/officeDocument/2006/relationships/hyperlink" Target="http://www.convivenciaysolidaridad.blogspot.com/" TargetMode="External"/><Relationship Id="rId1313" Type="http://schemas.openxmlformats.org/officeDocument/2006/relationships/hyperlink" Target="https://diario6.com/pablo-casado-el-hombre-que-cobra-1-842-euros-en-dietas-por-ser-diputado-por-avila-pero-que-vive-y-vota-en-madrid/" TargetMode="External"/><Relationship Id="rId1520" Type="http://schemas.openxmlformats.org/officeDocument/2006/relationships/hyperlink" Target="http://www.alcantarillasocial.com/author/xuxipc/" TargetMode="External"/><Relationship Id="rId1965" Type="http://schemas.openxmlformats.org/officeDocument/2006/relationships/hyperlink" Target="http://www.larealidad23.wordpress.com/" TargetMode="External"/><Relationship Id="rId1618" Type="http://schemas.openxmlformats.org/officeDocument/2006/relationships/hyperlink" Target="http://diario16.com/denunciado-fiscal-pidio-archivo-del-caso-master-pablo-casado/" TargetMode="External"/><Relationship Id="rId1825" Type="http://schemas.openxmlformats.org/officeDocument/2006/relationships/hyperlink" Target="http://www.labusca.es/" TargetMode="External"/><Relationship Id="rId199" Type="http://schemas.openxmlformats.org/officeDocument/2006/relationships/hyperlink" Target="http://www.juanbcn.net/" TargetMode="External"/><Relationship Id="rId2087" Type="http://schemas.openxmlformats.org/officeDocument/2006/relationships/hyperlink" Target="https://pbs.twimg.com/media/DsXVLRSWoAAj3h4.jpg" TargetMode="External"/><Relationship Id="rId2294" Type="http://schemas.openxmlformats.org/officeDocument/2006/relationships/hyperlink" Target="http://www.sillonbol.com/" TargetMode="External"/><Relationship Id="rId266" Type="http://schemas.openxmlformats.org/officeDocument/2006/relationships/hyperlink" Target="http://www.almeriahoy.com/2018/11/dia-intenso-de-campana-de-pablo-casado.html" TargetMode="External"/><Relationship Id="rId473" Type="http://schemas.openxmlformats.org/officeDocument/2006/relationships/hyperlink" Target="http://pic.twitter.com/U9zIcEcTs2" TargetMode="External"/><Relationship Id="rId680" Type="http://schemas.openxmlformats.org/officeDocument/2006/relationships/hyperlink" Target="http://www.elnacional.cat/es/" TargetMode="External"/><Relationship Id="rId2154" Type="http://schemas.openxmlformats.org/officeDocument/2006/relationships/hyperlink" Target="https://www.facebook.com/campamentoamigo15m/posts/1962560213825140" TargetMode="External"/><Relationship Id="rId2361" Type="http://schemas.openxmlformats.org/officeDocument/2006/relationships/hyperlink" Target="http://canasporespana.es/" TargetMode="External"/><Relationship Id="rId2599" Type="http://schemas.openxmlformats.org/officeDocument/2006/relationships/hyperlink" Target="https://www.elmundo.es/andalucia/2018/11/18/5bf1600fe2704ed9718b45f0.html" TargetMode="External"/><Relationship Id="rId126" Type="http://schemas.openxmlformats.org/officeDocument/2006/relationships/hyperlink" Target="https://www.eldiario.es/_31fba826" TargetMode="External"/><Relationship Id="rId333" Type="http://schemas.openxmlformats.org/officeDocument/2006/relationships/hyperlink" Target="http://flickr.com/photos/126163761@N02/" TargetMode="External"/><Relationship Id="rId540" Type="http://schemas.openxmlformats.org/officeDocument/2006/relationships/hyperlink" Target="http://www.roadwatch.eu/" TargetMode="External"/><Relationship Id="rId778" Type="http://schemas.openxmlformats.org/officeDocument/2006/relationships/hyperlink" Target="https://m.eldiario.es/_31fabdf9" TargetMode="External"/><Relationship Id="rId985" Type="http://schemas.openxmlformats.org/officeDocument/2006/relationships/hyperlink" Target="https://pbs.twimg.com/media/DshG_RRUcAARW40.jpg" TargetMode="External"/><Relationship Id="rId1170" Type="http://schemas.openxmlformats.org/officeDocument/2006/relationships/hyperlink" Target="https://pbs.twimg.com/media/DshqYqjWoAUEagV.jpg" TargetMode="External"/><Relationship Id="rId2014" Type="http://schemas.openxmlformats.org/officeDocument/2006/relationships/hyperlink" Target="https://diario6.com/pablo-casado-al-igual-que-cospedal-tambien-se-reunio-con-villarejo/" TargetMode="External"/><Relationship Id="rId2221" Type="http://schemas.openxmlformats.org/officeDocument/2006/relationships/hyperlink" Target="https://www.eldiario.es/_31e5622c" TargetMode="External"/><Relationship Id="rId2459" Type="http://schemas.openxmlformats.org/officeDocument/2006/relationships/hyperlink" Target="https://www.instagram.com/queenchopped/" TargetMode="External"/><Relationship Id="rId2666" Type="http://schemas.openxmlformats.org/officeDocument/2006/relationships/hyperlink" Target="https://www.instagram.com/dunlag/" TargetMode="External"/><Relationship Id="rId2873"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638" Type="http://schemas.openxmlformats.org/officeDocument/2006/relationships/hyperlink" Target="https://www.eldiario.es/_31fabdf9" TargetMode="External"/><Relationship Id="rId845" Type="http://schemas.openxmlformats.org/officeDocument/2006/relationships/hyperlink" Target="https://pbs.twimg.com/media/DsmXpw8WwAAaCT2.jpg" TargetMode="External"/><Relationship Id="rId1030" Type="http://schemas.openxmlformats.org/officeDocument/2006/relationships/hyperlink" Target="http://www.librediariodigital.net/texto-diario/mostrar/1207785/pablo-casado-hare-posible-impedir-salario-minimo-interprofesional-suba-900-euros" TargetMode="External"/><Relationship Id="rId1268" Type="http://schemas.openxmlformats.org/officeDocument/2006/relationships/hyperlink" Target="http://www.psoepalencia.org/" TargetMode="External"/><Relationship Id="rId1475" Type="http://schemas.openxmlformats.org/officeDocument/2006/relationships/hyperlink" Target="https://www.europapress.es/nacional/noticia-cosido-senala-no-planteado-dimitir-siente-respaldado-pablo-casado-20181120122235.html" TargetMode="External"/><Relationship Id="rId1682" Type="http://schemas.openxmlformats.org/officeDocument/2006/relationships/hyperlink" Target="http://www.huelvabuenasnoticias.com/" TargetMode="External"/><Relationship Id="rId2319" Type="http://schemas.openxmlformats.org/officeDocument/2006/relationships/hyperlink" Target="https://www.eldiario.es/_31e5622c" TargetMode="External"/><Relationship Id="rId2526" Type="http://schemas.openxmlformats.org/officeDocument/2006/relationships/hyperlink" Target="https://www.elmundo.es/andalucia/2018/11/18/5bf1600fe2704ed9718b45f0.html" TargetMode="External"/><Relationship Id="rId2733" Type="http://schemas.openxmlformats.org/officeDocument/2006/relationships/hyperlink" Target="https://www.facebook.com/rajevi8/" TargetMode="External"/><Relationship Id="rId400" Type="http://schemas.openxmlformats.org/officeDocument/2006/relationships/hyperlink" Target="https://www.huffingtonpost.es/2018/11/22/tension-entre-pepa-bueno-y-pablo-casado-desde-esperanza-aguirre-no-he-tenido-tantas-dificultades-para-hacer-preguntas_a_23596803/" TargetMode="External"/><Relationship Id="rId705" Type="http://schemas.openxmlformats.org/officeDocument/2006/relationships/hyperlink" Target="https://twitter.com/Yo_Soy_Asin/status/1065553345128132608" TargetMode="External"/><Relationship Id="rId1128" Type="http://schemas.openxmlformats.org/officeDocument/2006/relationships/hyperlink" Target="https://www.elperiodico.com/es/politica/20181119/cosido-piedra-zapato-pablo-casado-7156422?utm_source=twitter&amp;utm_medium=social" TargetMode="External"/><Relationship Id="rId1335" Type="http://schemas.openxmlformats.org/officeDocument/2006/relationships/hyperlink" Target="https://pbs.twimg.com/media/Dsexe0rWkAAhe-k.jpg" TargetMode="External"/><Relationship Id="rId1542" Type="http://schemas.openxmlformats.org/officeDocument/2006/relationships/hyperlink" Target="http://www.noticierouniversal.com/" TargetMode="External"/><Relationship Id="rId1987" Type="http://schemas.openxmlformats.org/officeDocument/2006/relationships/hyperlink" Target="https://twitter.com/pablocasado_/status/1064525298786598912" TargetMode="External"/><Relationship Id="rId2940"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912" Type="http://schemas.openxmlformats.org/officeDocument/2006/relationships/hyperlink" Target="http://cadenaser.com/programa/2018/11/21/hoy_por_hoy/1542803484_524062.html?ssm=tw-hxh" TargetMode="External"/><Relationship Id="rId1847" Type="http://schemas.openxmlformats.org/officeDocument/2006/relationships/hyperlink" Target="https://www.google.es/amp/s/m.huffingtonpost.es/amp/2018/11/17/pablo-casado-los-espanoles-no-colonizabamos-lo-que-haciamos-era-tener-una-espana-mas-grande_a_23592393/" TargetMode="External"/><Relationship Id="rId2800" Type="http://schemas.openxmlformats.org/officeDocument/2006/relationships/hyperlink" Target="http://ninfra.deviantart.com/" TargetMode="External"/><Relationship Id="rId41" Type="http://schemas.openxmlformats.org/officeDocument/2006/relationships/hyperlink" Target="http://www.sergiocases-artstudio.com/" TargetMode="External"/><Relationship Id="rId1402" Type="http://schemas.openxmlformats.org/officeDocument/2006/relationships/hyperlink" Target="https://pbs.twimg.com/media/DseBLfmXoAcTj1A.jpg" TargetMode="External"/><Relationship Id="rId1707" Type="http://schemas.openxmlformats.org/officeDocument/2006/relationships/hyperlink" Target="https://pbs.twimg.com/media/Dsbp3ZLWsAAjvB8.jpg" TargetMode="External"/><Relationship Id="rId190" Type="http://schemas.openxmlformats.org/officeDocument/2006/relationships/hyperlink" Target="http://noalppgurteldiseloatusamigos.blogspot.com.es/" TargetMode="External"/><Relationship Id="rId288" Type="http://schemas.openxmlformats.org/officeDocument/2006/relationships/hyperlink" Target="http://www.eldiario.es/" TargetMode="External"/><Relationship Id="rId1914" Type="http://schemas.openxmlformats.org/officeDocument/2006/relationships/hyperlink" Target="http://elperiodi.co/84qhm1" TargetMode="External"/><Relationship Id="rId495" Type="http://schemas.openxmlformats.org/officeDocument/2006/relationships/hyperlink" Target="https://m.eldiario.es/_31fabdf9" TargetMode="External"/><Relationship Id="rId2176" Type="http://schemas.openxmlformats.org/officeDocument/2006/relationships/hyperlink" Target="https://www.elmundo.es/andalucia/2018/11/19/5bf1c941268e3e13678b459f.html" TargetMode="External"/><Relationship Id="rId2383" Type="http://schemas.openxmlformats.org/officeDocument/2006/relationships/hyperlink" Target="http://www.multiforo.eu/" TargetMode="External"/><Relationship Id="rId2590" Type="http://schemas.openxmlformats.org/officeDocument/2006/relationships/hyperlink" Target="http://www.lasexta.com/" TargetMode="External"/><Relationship Id="rId148" Type="http://schemas.openxmlformats.org/officeDocument/2006/relationships/hyperlink" Target="https://m.eldiario.es/_31fba826" TargetMode="External"/><Relationship Id="rId355" Type="http://schemas.openxmlformats.org/officeDocument/2006/relationships/hyperlink" Target="https://m.eldiario.es/_31fabdf9" TargetMode="External"/><Relationship Id="rId562" Type="http://schemas.openxmlformats.org/officeDocument/2006/relationships/hyperlink" Target="http://cjueloberoi.blogspot.com.es/" TargetMode="External"/><Relationship Id="rId1192" Type="http://schemas.openxmlformats.org/officeDocument/2006/relationships/hyperlink" Target="https://www.nuevatribuna.es/opinion/jose-luis-lopez-bulla/violetas-imperiales-pablo-casado/20181120103644157616.html" TargetMode="External"/><Relationship Id="rId2036" Type="http://schemas.openxmlformats.org/officeDocument/2006/relationships/hyperlink" Target="https://www.periodistadigital.com/politica/partidos-politicos/2018/11/19/ana-isabel-perez-pp-asamblea-madrid-diputada-madrid-central-carmena-pablo-casado-angel-garrido.shtml" TargetMode="External"/><Relationship Id="rId2243" Type="http://schemas.openxmlformats.org/officeDocument/2006/relationships/hyperlink" Target="http://instagram.com/ramonMLGA" TargetMode="External"/><Relationship Id="rId2450" Type="http://schemas.openxmlformats.org/officeDocument/2006/relationships/hyperlink" Target="https://twitter.com/2010MisterChip/status/1064242397230583808" TargetMode="External"/><Relationship Id="rId2688" Type="http://schemas.openxmlformats.org/officeDocument/2006/relationships/hyperlink" Target="http://www.guerraeterna.com/pablo-casado-contra-la-historia/" TargetMode="External"/><Relationship Id="rId2895" Type="http://schemas.openxmlformats.org/officeDocument/2006/relationships/hyperlink" Target="https://www.diariocordoba.com/noticias/2d-elecciones-andaluzas/pablo-casado-apoya-iglesia-gestione-mezquita-catedral_1264871.html" TargetMode="External"/><Relationship Id="rId215" Type="http://schemas.openxmlformats.org/officeDocument/2006/relationships/hyperlink" Target="http://www.chorizosibericos.es/" TargetMode="External"/><Relationship Id="rId422" Type="http://schemas.openxmlformats.org/officeDocument/2006/relationships/hyperlink" Target="https://www.instagram.com/arezno/" TargetMode="External"/><Relationship Id="rId867" Type="http://schemas.openxmlformats.org/officeDocument/2006/relationships/hyperlink" Target="https://www.eljueves.es/news/universidad-rey-juan-carlos-contrata-como-profesor-a-pablo-casado_2968?utm_source=facebook&amp;utm_medium=social&amp;utm_campaign=trafico" TargetMode="External"/><Relationship Id="rId1052" Type="http://schemas.openxmlformats.org/officeDocument/2006/relationships/hyperlink" Target="https://pbs.twimg.com/media/Dsi48dqW0AAQ1fm.jpg" TargetMode="External"/><Relationship Id="rId1497" Type="http://schemas.openxmlformats.org/officeDocument/2006/relationships/hyperlink" Target="https://pbs.twimg.com/media/Dsc5txIXgAA2UVx.jpg" TargetMode="External"/><Relationship Id="rId2103" Type="http://schemas.openxmlformats.org/officeDocument/2006/relationships/hyperlink" Target="http://juansantiso.blogspot.com/" TargetMode="External"/><Relationship Id="rId2310" Type="http://schemas.openxmlformats.org/officeDocument/2006/relationships/hyperlink" Target="https://pbs.twimg.com/media/DsWGo20V4AA0EIq.jpg" TargetMode="External"/><Relationship Id="rId2548" Type="http://schemas.openxmlformats.org/officeDocument/2006/relationships/hyperlink" Target="https://pbs.twimg.com/media/DsTR_xNX4AEn52d.jpg" TargetMode="External"/><Relationship Id="rId2755" Type="http://schemas.openxmlformats.org/officeDocument/2006/relationships/hyperlink" Target="http://entretenimientobit.com/interes-general/pablo-casado-acusa-a-pedro-sanchez-de-traicion-por-no-pedir-un-gibraltar-espanol/?utm_campaign=twitter&amp;utm_medium=twitter&amp;utm_source=twitter" TargetMode="External"/><Relationship Id="rId2962" Type="http://schemas.openxmlformats.org/officeDocument/2006/relationships/hyperlink" Target="https://www.lavanguardia.com/politica/20181117/452992780484/pablo-casado-espana-no-colonizaba-tener-espana-mas-grande.html" TargetMode="External"/><Relationship Id="rId727" Type="http://schemas.openxmlformats.org/officeDocument/2006/relationships/hyperlink" Target="https://curiouscat.me/escuchame_una_cosa/post/713771377?t=1542891574" TargetMode="External"/><Relationship Id="rId934" Type="http://schemas.openxmlformats.org/officeDocument/2006/relationships/hyperlink" Target="http://www.mazelmind.wordpress.com/" TargetMode="External"/><Relationship Id="rId1357" Type="http://schemas.openxmlformats.org/officeDocument/2006/relationships/hyperlink" Target="https://youtu.be/QROdJCONfvc" TargetMode="External"/><Relationship Id="rId1564" Type="http://schemas.openxmlformats.org/officeDocument/2006/relationships/hyperlink" Target="https://pbs.twimg.com/media/DscoEKyWoAEGq0-.jpg" TargetMode="External"/><Relationship Id="rId1771" Type="http://schemas.openxmlformats.org/officeDocument/2006/relationships/hyperlink" Target="http://www.elnacional.cat/ca/opinio/david-gonzalez-casado-nazis-puigdemont_325872_102.html?utm_campaign=7bcd6ebadc-EMAIL_CAMPAIGN_2018_08_12_08_43_COPY_01&amp;utm_medium=email&amp;utm_source=Newsletter+CATAL%C3%80&amp;utm_term=0_a31d6c8a9b-7bcd6ebadc-291083069" TargetMode="External"/><Relationship Id="rId2408" Type="http://schemas.openxmlformats.org/officeDocument/2006/relationships/hyperlink" Target="http://mag-linares.blogspot.com.es/" TargetMode="External"/><Relationship Id="rId2615" Type="http://schemas.openxmlformats.org/officeDocument/2006/relationships/hyperlink" Target="https://pbs.twimg.com/media/DsS70GVWsAU6S0B.jpg" TargetMode="External"/><Relationship Id="rId2822" Type="http://schemas.openxmlformats.org/officeDocument/2006/relationships/hyperlink" Target="https://m.huffingtonpost.es/amp/2018/11/17/pablo-casado-los-espanoles-no-colonizabamos-lo-que-haciamos-era-tener-una-espana-mas-grande_a_23592393/?ncid=other_twitter_cooo9wqtham&amp;utm_campaign=share_twitter&amp;__twitter_impression=true" TargetMode="External"/><Relationship Id="rId63" Type="http://schemas.openxmlformats.org/officeDocument/2006/relationships/hyperlink" Target="http://www.ctxt.es/" TargetMode="External"/><Relationship Id="rId1217" Type="http://schemas.openxmlformats.org/officeDocument/2006/relationships/hyperlink" Target="https://diario6.com/pablo-casado-el-hombre-que-cobra-1-842-euros-en-dietas-por-ser-diputado-por-avila-pero-que-vive-y-vota-en-madrid/" TargetMode="External"/><Relationship Id="rId1424" Type="http://schemas.openxmlformats.org/officeDocument/2006/relationships/hyperlink" Target="http://ow.ly/8L0i30mGCIf" TargetMode="External"/><Relationship Id="rId1631" Type="http://schemas.openxmlformats.org/officeDocument/2006/relationships/hyperlink" Target="http://atres.red/4ncii5663" TargetMode="External"/><Relationship Id="rId1869" Type="http://schemas.openxmlformats.org/officeDocument/2006/relationships/hyperlink" Target="https://youtu.be/C-GVl1UmN8c" TargetMode="External"/><Relationship Id="rId1729" Type="http://schemas.openxmlformats.org/officeDocument/2006/relationships/hyperlink" Target="http://instagram.com/ramonMLGA" TargetMode="External"/><Relationship Id="rId1936" Type="http://schemas.openxmlformats.org/officeDocument/2006/relationships/hyperlink" Target="https://www.antena3.com/noticias/espana/casado-sobre-posible-adelanto-electoral-video_201811195bf2bb390cf288806d3adaa0.html" TargetMode="External"/><Relationship Id="rId2198" Type="http://schemas.openxmlformats.org/officeDocument/2006/relationships/hyperlink" Target="http://juansantiso.blogspot.com/" TargetMode="External"/><Relationship Id="rId377" Type="http://schemas.openxmlformats.org/officeDocument/2006/relationships/hyperlink" Target="https://www.facebook.com/Credit-Repair-in-Delaware-1469101476453309/" TargetMode="External"/><Relationship Id="rId584" Type="http://schemas.openxmlformats.org/officeDocument/2006/relationships/hyperlink" Target="https://youtu.be/jybqW6AZOQ0" TargetMode="External"/><Relationship Id="rId2058" Type="http://schemas.openxmlformats.org/officeDocument/2006/relationships/hyperlink" Target="http://www.guerraeterna.com/" TargetMode="External"/><Relationship Id="rId2265" Type="http://schemas.openxmlformats.org/officeDocument/2006/relationships/hyperlink" Target="http://diario16.com/denunciado-fiscal-pidio-archivo-del-caso-master-pablo-casado/" TargetMode="External"/><Relationship Id="rId5" Type="http://schemas.openxmlformats.org/officeDocument/2006/relationships/hyperlink" Target="https://m.eldiario.es/_31fba826" TargetMode="External"/><Relationship Id="rId237" Type="http://schemas.openxmlformats.org/officeDocument/2006/relationships/hyperlink" Target="https://m.eldiario.es/_31fba826" TargetMode="External"/><Relationship Id="rId791" Type="http://schemas.openxmlformats.org/officeDocument/2006/relationships/hyperlink" Target="https://pbs.twimg.com/media/Dsmq9hEX4AAo6Mg.jpg" TargetMode="External"/><Relationship Id="rId889" Type="http://schemas.openxmlformats.org/officeDocument/2006/relationships/hyperlink" Target="https://ojetejohnson.itch.io/" TargetMode="External"/><Relationship Id="rId1074" Type="http://schemas.openxmlformats.org/officeDocument/2006/relationships/hyperlink" Target="https://pbs.twimg.com/media/DshXSyYW0AAjGQW.jpg" TargetMode="External"/><Relationship Id="rId2472" Type="http://schemas.openxmlformats.org/officeDocument/2006/relationships/hyperlink" Target="http://blogs.libertaddigital.com/enigmas-del-11-m/pablo-casado-entrega-la-justicia-a-pedro-sanchez-15104/" TargetMode="External"/><Relationship Id="rId2777" Type="http://schemas.openxmlformats.org/officeDocument/2006/relationships/hyperlink" Target="http://www.europapress.es/castilla-lamancha" TargetMode="External"/><Relationship Id="rId444" Type="http://schemas.openxmlformats.org/officeDocument/2006/relationships/hyperlink" Target="https://m.eldiario.es/_31fabdf9" TargetMode="External"/><Relationship Id="rId651" Type="http://schemas.openxmlformats.org/officeDocument/2006/relationships/hyperlink" Target="https://twitter.com/thefdez/status/1065616746613227521" TargetMode="External"/><Relationship Id="rId749" Type="http://schemas.openxmlformats.org/officeDocument/2006/relationships/hyperlink" Target="https://www.eldiario.es/politica/Pablo-Casado-exaltacion-franquismo-probidida_0_838516217.html" TargetMode="External"/><Relationship Id="rId1281" Type="http://schemas.openxmlformats.org/officeDocument/2006/relationships/hyperlink" Target="http://www.linkedin.com/in/ccampillosmartinez" TargetMode="External"/><Relationship Id="rId1379" Type="http://schemas.openxmlformats.org/officeDocument/2006/relationships/hyperlink" Target="https://pbs.twimg.com/media/DsePefBXoAEKRQ2.jpg" TargetMode="External"/><Relationship Id="rId1586" Type="http://schemas.openxmlformats.org/officeDocument/2006/relationships/hyperlink" Target="http://diario16.com/cosido-me-sien" TargetMode="External"/><Relationship Id="rId2125" Type="http://schemas.openxmlformats.org/officeDocument/2006/relationships/hyperlink" Target="https://www.eldiario.es/politica/Casado-Historia-colonizabamos-haciamos-Espana_0_836766521.html" TargetMode="External"/><Relationship Id="rId2332" Type="http://schemas.openxmlformats.org/officeDocument/2006/relationships/hyperlink" Target="https://okdiario.com/espana/2018/11/18/casado-reclama-cosoberania-gibraltar-no-queremos-verja-3364229" TargetMode="External"/><Relationship Id="rId304" Type="http://schemas.openxmlformats.org/officeDocument/2006/relationships/hyperlink" Target="https://twitter.com/soldadadecrist/status/980165760667459584" TargetMode="External"/><Relationship Id="rId511" Type="http://schemas.openxmlformats.org/officeDocument/2006/relationships/hyperlink" Target="https://ctxt.es/es/20181121/Politica/22989/manu-garrido-elecciones-andaluc%C3%ADa-PP-Pablo-casado-campa%C3%B1a-sin-candidato-VOX.htm?fbclid=IwAR3CZadvLNd4tLJEVjU3KaLGC6TiHFUhsiveLw1lVt1082EKUFUxUVbyFH8" TargetMode="External"/><Relationship Id="rId609" Type="http://schemas.openxmlformats.org/officeDocument/2006/relationships/hyperlink" Target="https://pbs.twimg.com/media/Dsn77SVWkAEJZRR.jpg" TargetMode="External"/><Relationship Id="rId956" Type="http://schemas.openxmlformats.org/officeDocument/2006/relationships/hyperlink" Target="http://diario6.com/pablo-casado-el-hombre-que-cobra-1-842-euros-en-dietas-por-ser-diputado-por-avila-pero-que-vive-y-vota-en-madrid/" TargetMode="External"/><Relationship Id="rId1141" Type="http://schemas.openxmlformats.org/officeDocument/2006/relationships/hyperlink" Target="https://www.youtube.com/channel/UCY60GBj-H8SmayRG1UgDVWw" TargetMode="External"/><Relationship Id="rId1239" Type="http://schemas.openxmlformats.org/officeDocument/2006/relationships/hyperlink" Target="https://libertadfm.es/2018/11/21/sanchez-a-casadola-deriva-del-pp-no-puede-implicar-la-de-las-instituciones/" TargetMode="External"/><Relationship Id="rId1793" Type="http://schemas.openxmlformats.org/officeDocument/2006/relationships/hyperlink" Target="https://pbs.twimg.com/media/DsZgO_gX4AU3Rgy.jpg" TargetMode="External"/><Relationship Id="rId2637" Type="http://schemas.openxmlformats.org/officeDocument/2006/relationships/hyperlink" Target="https://twitter.com/pablocasado_/status/1064153770643329024" TargetMode="External"/><Relationship Id="rId2844" Type="http://schemas.openxmlformats.org/officeDocument/2006/relationships/hyperlink" Target="http://pic.twitter.com/FhpXxKkdGY" TargetMode="External"/><Relationship Id="rId85" Type="http://schemas.openxmlformats.org/officeDocument/2006/relationships/hyperlink" Target="http://www.eldebatedehoy.es/" TargetMode="External"/><Relationship Id="rId816" Type="http://schemas.openxmlformats.org/officeDocument/2006/relationships/hyperlink" Target="http://bit.ly/2DSGDFx" TargetMode="External"/><Relationship Id="rId1001" Type="http://schemas.openxmlformats.org/officeDocument/2006/relationships/hyperlink" Target="https://www.libertaddigital.com/espana/2018-11-21/pedro-sanchez-pide-a-casado-y-rufian-que-pidan-discupas-por-el-escupitajo-de-erc-a-borell-1276628638/" TargetMode="External"/><Relationship Id="rId1446" Type="http://schemas.openxmlformats.org/officeDocument/2006/relationships/hyperlink" Target="http://radiolecostaluz.com/pablo-casado-visita-la-costa-de-huelva/" TargetMode="External"/><Relationship Id="rId1653" Type="http://schemas.openxmlformats.org/officeDocument/2006/relationships/hyperlink" Target="http://www.victorjaviercavia.es/" TargetMode="External"/><Relationship Id="rId1860" Type="http://schemas.openxmlformats.org/officeDocument/2006/relationships/hyperlink" Target="https://pbs.twimg.com/media/DsZMoP3WwAICdM8.jpg" TargetMode="External"/><Relationship Id="rId2704" Type="http://schemas.openxmlformats.org/officeDocument/2006/relationships/hyperlink" Target="https://www.lavanguardia.com/politica/20181118/453010973750/pablo-casado-nuevo-155-catalunya-andalucia-ilegalizar-cup.html?utm_source=twitter_lv&amp;utm_medium=social" TargetMode="External"/><Relationship Id="rId2911" Type="http://schemas.openxmlformats.org/officeDocument/2006/relationships/hyperlink" Target="https://www.vozpopuli.com/_47092341" TargetMode="External"/><Relationship Id="rId1306" Type="http://schemas.openxmlformats.org/officeDocument/2006/relationships/hyperlink" Target="http://pic.twitter.com/DY6DHPAAXU" TargetMode="External"/><Relationship Id="rId1513" Type="http://schemas.openxmlformats.org/officeDocument/2006/relationships/hyperlink" Target="https://www.elmundo.es/espana/2018/11/20/5bf4064222601d460c8b45ee.html" TargetMode="External"/><Relationship Id="rId1720" Type="http://schemas.openxmlformats.org/officeDocument/2006/relationships/hyperlink" Target="http://cadenaser.com/ser/2018/11/20/politica/1542699324_507305.html" TargetMode="External"/><Relationship Id="rId1958" Type="http://schemas.openxmlformats.org/officeDocument/2006/relationships/hyperlink" Target="http://diario16.com/denunciado-fiscal-pidio-archivo-del-caso-master-pablo-casado/" TargetMode="External"/><Relationship Id="rId12" Type="http://schemas.openxmlformats.org/officeDocument/2006/relationships/hyperlink" Target="https://pbs.twimg.com/media/DssbmI5XQAEjZnu.jpg" TargetMode="External"/><Relationship Id="rId1818" Type="http://schemas.openxmlformats.org/officeDocument/2006/relationships/hyperlink" Target="https://youtu.be/WbcOau_ZpBA" TargetMode="External"/><Relationship Id="rId161" Type="http://schemas.openxmlformats.org/officeDocument/2006/relationships/hyperlink" Target="https://pbs.twimg.com/media/DsrgQdkWwAAVuxd.jpg" TargetMode="External"/><Relationship Id="rId399" Type="http://schemas.openxmlformats.org/officeDocument/2006/relationships/hyperlink" Target="https://m.eldiario.es/_31fba826" TargetMode="External"/><Relationship Id="rId2287" Type="http://schemas.openxmlformats.org/officeDocument/2006/relationships/hyperlink" Target="http://www.eldiario.es/autores/andres_gil/" TargetMode="External"/><Relationship Id="rId2494" Type="http://schemas.openxmlformats.org/officeDocument/2006/relationships/hyperlink" Target="http://www.diariodejerez.es/" TargetMode="External"/><Relationship Id="rId259" Type="http://schemas.openxmlformats.org/officeDocument/2006/relationships/hyperlink" Target="https://www.eldiario.es/_31fba826" TargetMode="External"/><Relationship Id="rId466" Type="http://schemas.openxmlformats.org/officeDocument/2006/relationships/hyperlink" Target="https://www.eljueves.es/news/universidad-rey-juan-carlos-contrata-como-profesor-a-pablo-casado_2968" TargetMode="External"/><Relationship Id="rId673" Type="http://schemas.openxmlformats.org/officeDocument/2006/relationships/hyperlink" Target="https://www.eldiario.es/politica/Pablo-Casado-exaltacion-franquismo-probidida_0_838516217.html" TargetMode="External"/><Relationship Id="rId880" Type="http://schemas.openxmlformats.org/officeDocument/2006/relationships/hyperlink" Target="http://dlvr.it/QrqyL9" TargetMode="External"/><Relationship Id="rId1096" Type="http://schemas.openxmlformats.org/officeDocument/2006/relationships/hyperlink" Target="https://www.youtube.com/channel/UCDoZcvj8CxFCyeiyI35G4qA" TargetMode="External"/><Relationship Id="rId2147" Type="http://schemas.openxmlformats.org/officeDocument/2006/relationships/hyperlink" Target="https://www.eldiario.es/internacional/Steve-Bannon-Orban-Pablo-Casado_0_837116460.html" TargetMode="External"/><Relationship Id="rId2354" Type="http://schemas.openxmlformats.org/officeDocument/2006/relationships/hyperlink" Target="http://www.kgb.by/" TargetMode="External"/><Relationship Id="rId2561"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799" Type="http://schemas.openxmlformats.org/officeDocument/2006/relationships/hyperlink" Target="http://www.andaluciapodemos.info/" TargetMode="External"/><Relationship Id="rId119" Type="http://schemas.openxmlformats.org/officeDocument/2006/relationships/hyperlink" Target="https://m.eldiario.es/escolar/Pablo-Casado-Poder-Judicial-Cosido_6_838576166.html" TargetMode="External"/><Relationship Id="rId326" Type="http://schemas.openxmlformats.org/officeDocument/2006/relationships/hyperlink" Target="http://ecosdelalogica.blogspot.com.es/" TargetMode="External"/><Relationship Id="rId533" Type="http://schemas.openxmlformats.org/officeDocument/2006/relationships/hyperlink" Target="http://www.cambio16.com/" TargetMode="External"/><Relationship Id="rId978" Type="http://schemas.openxmlformats.org/officeDocument/2006/relationships/hyperlink" Target="https://www.facebook.com/NNGGVejer" TargetMode="External"/><Relationship Id="rId1163" Type="http://schemas.openxmlformats.org/officeDocument/2006/relationships/hyperlink" Target="http://www.cibercuba.com/" TargetMode="External"/><Relationship Id="rId1370" Type="http://schemas.openxmlformats.org/officeDocument/2006/relationships/hyperlink" Target="https://diario6.com/pablo-casado-al-igual-que-cospedal-tambien-se-reunio-con-villarejo/" TargetMode="External"/><Relationship Id="rId2007" Type="http://schemas.openxmlformats.org/officeDocument/2006/relationships/hyperlink" Target="http://instagram.com/mboiso_" TargetMode="External"/><Relationship Id="rId2214" Type="http://schemas.openxmlformats.org/officeDocument/2006/relationships/hyperlink" Target="http://cadenaser.com/" TargetMode="External"/><Relationship Id="rId2659" Type="http://schemas.openxmlformats.org/officeDocument/2006/relationships/hyperlink" Target="https://goo.gl/XPaJPL" TargetMode="External"/><Relationship Id="rId2866" Type="http://schemas.openxmlformats.org/officeDocument/2006/relationships/hyperlink" Target="http://laicismo.org/" TargetMode="External"/><Relationship Id="rId740" Type="http://schemas.openxmlformats.org/officeDocument/2006/relationships/hyperlink" Target="https://m.eldiario.es/politica/Pablo-Casado-exaltacion-franquismo-probidida_0_838516217.html" TargetMode="External"/><Relationship Id="rId838" Type="http://schemas.openxmlformats.org/officeDocument/2006/relationships/hyperlink" Target="http://www.elcheclubdefutbolsad.com/" TargetMode="External"/><Relationship Id="rId1023" Type="http://schemas.openxmlformats.org/officeDocument/2006/relationships/hyperlink" Target="https://diario6.com/pablo-casado-el-hombre-que-cobra-1-842-euros-en-dietas-por-ser-diputado-por-avila-pero-que-vive-y-vota-en-madrid/" TargetMode="External"/><Relationship Id="rId1468" Type="http://schemas.openxmlformats.org/officeDocument/2006/relationships/hyperlink" Target="https://bit.ly/2Blbfgw" TargetMode="External"/><Relationship Id="rId1675" Type="http://schemas.openxmlformats.org/officeDocument/2006/relationships/hyperlink" Target="https://pbs.twimg.com/media/DsbiY6fXQAAsPBc.jpg" TargetMode="External"/><Relationship Id="rId1882" Type="http://schemas.openxmlformats.org/officeDocument/2006/relationships/hyperlink" Target="https://www.youtube.com/watch?v=QpAvfmomw2I" TargetMode="External"/><Relationship Id="rId2421" Type="http://schemas.openxmlformats.org/officeDocument/2006/relationships/hyperlink" Target="http://instagram.com/minutes_to_the_end__" TargetMode="External"/><Relationship Id="rId2519" Type="http://schemas.openxmlformats.org/officeDocument/2006/relationships/hyperlink" Target="https://pbs.twimg.com/media/DsTb7vKWsAE5hqZ.jpg" TargetMode="External"/><Relationship Id="rId2726" Type="http://schemas.openxmlformats.org/officeDocument/2006/relationships/hyperlink" Target="https://www.lavanguardia.com/politica/20181117/452992780484/pablo-casado-espana-no-colonizaba-tener-espana-mas-grande.html" TargetMode="External"/><Relationship Id="rId600" Type="http://schemas.openxmlformats.org/officeDocument/2006/relationships/hyperlink" Target="https://www.eljueves.es/news/universidad-rey-juan-carlos-contrata-como-profesor-a-pablo-casado_2968?utm_source=facebook&amp;utm_medium=social&amp;utm_campaign=trafico" TargetMode="External"/><Relationship Id="rId1230" Type="http://schemas.openxmlformats.org/officeDocument/2006/relationships/hyperlink" Target="https://www.youtube.com/channel/UCzAeV22GnQxwUBokDOEyb4A" TargetMode="External"/><Relationship Id="rId1328" Type="http://schemas.openxmlformats.org/officeDocument/2006/relationships/hyperlink" Target="https://twitter.com/EFEnoticias/status/1064934329271373827" TargetMode="External"/><Relationship Id="rId1535" Type="http://schemas.openxmlformats.org/officeDocument/2006/relationships/hyperlink" Target="https://goo.gl/images/ac56Eo" TargetMode="External"/><Relationship Id="rId2933" Type="http://schemas.openxmlformats.org/officeDocument/2006/relationships/hyperlink" Target="http://www.bottomup.cat/" TargetMode="External"/><Relationship Id="rId905" Type="http://schemas.openxmlformats.org/officeDocument/2006/relationships/hyperlink" Target="http://es.favstar.fm/users/buttercri" TargetMode="External"/><Relationship Id="rId1742" Type="http://schemas.openxmlformats.org/officeDocument/2006/relationships/hyperlink" Target="http://instagram.com/ramonMLGA" TargetMode="External"/><Relationship Id="rId34" Type="http://schemas.openxmlformats.org/officeDocument/2006/relationships/hyperlink" Target="https://twitter.com/psoe/status/1065897759910346752?s=21" TargetMode="External"/><Relationship Id="rId1602" Type="http://schemas.openxmlformats.org/officeDocument/2006/relationships/hyperlink" Target="https://www.naiz.eus/eu/actualidad/noticia/20181120/cosido-senala-que-no-se-ha-planteado-dimitir-y-se-siente-respaldado-por-pablo-casado" TargetMode="External"/><Relationship Id="rId183" Type="http://schemas.openxmlformats.org/officeDocument/2006/relationships/hyperlink" Target="https://www.eldiario.es/_31fba826" TargetMode="External"/><Relationship Id="rId390" Type="http://schemas.openxmlformats.org/officeDocument/2006/relationships/hyperlink" Target="https://pbs.twimg.com/media/DspYyT0UUAAA7Wm.jpg" TargetMode="External"/><Relationship Id="rId1907" Type="http://schemas.openxmlformats.org/officeDocument/2006/relationships/hyperlink" Target="http://teoriadecuerdascfd.blogspot.com/" TargetMode="External"/><Relationship Id="rId2071" Type="http://schemas.openxmlformats.org/officeDocument/2006/relationships/hyperlink" Target="http://instagram.com/elperritopiloto/" TargetMode="External"/><Relationship Id="rId250" Type="http://schemas.openxmlformats.org/officeDocument/2006/relationships/hyperlink" Target="https://www.eldiario.es/_31fba826" TargetMode="External"/><Relationship Id="rId488" Type="http://schemas.openxmlformats.org/officeDocument/2006/relationships/hyperlink" Target="https://pbs.twimg.com/media/DsorHLwU4AAL7N8.jpg" TargetMode="External"/><Relationship Id="rId695" Type="http://schemas.openxmlformats.org/officeDocument/2006/relationships/hyperlink" Target="https://pbs.twimg.com/media/DsnEi6KWsAAvgk-.jpg" TargetMode="External"/><Relationship Id="rId2169" Type="http://schemas.openxmlformats.org/officeDocument/2006/relationships/hyperlink" Target="https://www.20minutos.es/noticia/3483100/0/pablo-casado-mcdonalds-memes/" TargetMode="External"/><Relationship Id="rId2376" Type="http://schemas.openxmlformats.org/officeDocument/2006/relationships/hyperlink" Target="https://www.elnacional.cat/ca/politica/pablo-casado-exhuma-retorica-franquista-reclama-gibraltar-espanyol_325791_102.html?fbclid=IwAR0GyUJwK8HbXXCl_iZrSjHL1v0HRc4p7_VHOTw38kz8nK51QvJZOiFgw88" TargetMode="External"/><Relationship Id="rId2583"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790" Type="http://schemas.openxmlformats.org/officeDocument/2006/relationships/hyperlink" Target="https://pbs.twimg.com/media/DsSOn39WoAI4j9f.jpg" TargetMode="External"/><Relationship Id="rId110" Type="http://schemas.openxmlformats.org/officeDocument/2006/relationships/hyperlink" Target="https://www.huffingtonpost.es/2018/11/22/tension-entre-pepa-bueno-y-pablo-casado-desde-esperanza-aguirre-no-he-tenido-tantas-dificultades-para-hacer-preguntas_a_23596803/" TargetMode="External"/><Relationship Id="rId348" Type="http://schemas.openxmlformats.org/officeDocument/2006/relationships/hyperlink" Target="http://www.franciscocastro.gal/" TargetMode="External"/><Relationship Id="rId555" Type="http://schemas.openxmlformats.org/officeDocument/2006/relationships/hyperlink" Target="https://pbs.twimg.com/media/Dsl_NCQUwAEWVoD.jpg" TargetMode="External"/><Relationship Id="rId762" Type="http://schemas.openxmlformats.org/officeDocument/2006/relationships/hyperlink" Target="https://www.eldiario.es/politica/Pablo-Casado-exaltacion-franquismo-probidida_0_838516217.html" TargetMode="External"/><Relationship Id="rId1185" Type="http://schemas.openxmlformats.org/officeDocument/2006/relationships/hyperlink" Target="http://pensandoenmirincon.blogspot.es/" TargetMode="External"/><Relationship Id="rId1392" Type="http://schemas.openxmlformats.org/officeDocument/2006/relationships/hyperlink" Target="https://twitter.com/pablocasado_/status/1064961885383114754" TargetMode="External"/><Relationship Id="rId2029" Type="http://schemas.openxmlformats.org/officeDocument/2006/relationships/hyperlink" Target="https://bit.ly/2DM5tXI" TargetMode="External"/><Relationship Id="rId2236" Type="http://schemas.openxmlformats.org/officeDocument/2006/relationships/hyperlink" Target="https://www.elespanol.com/espana/politica/20181119/controlaremos-sala-segunda-cosido-justificando-psoe-cgpj/354214577_0.html" TargetMode="External"/><Relationship Id="rId2443" Type="http://schemas.openxmlformats.org/officeDocument/2006/relationships/hyperlink" Target="http://alcantarillasocial.com/author/protestona1" TargetMode="External"/><Relationship Id="rId2650" Type="http://schemas.openxmlformats.org/officeDocument/2006/relationships/hyperlink" Target="http://atres.red/wkitb1" TargetMode="External"/><Relationship Id="rId2888" Type="http://schemas.openxmlformats.org/officeDocument/2006/relationships/hyperlink" Target="https://m.eldiario.es/_316622b4" TargetMode="External"/><Relationship Id="rId208" Type="http://schemas.openxmlformats.org/officeDocument/2006/relationships/hyperlink" Target="https://pbs.twimg.com/media/DsrWKC2X4AAegri.jpg" TargetMode="External"/><Relationship Id="rId415" Type="http://schemas.openxmlformats.org/officeDocument/2006/relationships/hyperlink" Target="https://pbs.twimg.com/media/DsoteRRV4AAO1jd.jpg" TargetMode="External"/><Relationship Id="rId622" Type="http://schemas.openxmlformats.org/officeDocument/2006/relationships/hyperlink" Target="https://pbs.twimg.com/media/Dsn0NLtW0AEz906.jpg" TargetMode="External"/><Relationship Id="rId1045" Type="http://schemas.openxmlformats.org/officeDocument/2006/relationships/hyperlink" Target="http://psoefondon.blogspot.com.es/" TargetMode="External"/><Relationship Id="rId1252" Type="http://schemas.openxmlformats.org/officeDocument/2006/relationships/hyperlink" Target="http://facebook.com/luismiguel.clavijomontesinos" TargetMode="External"/><Relationship Id="rId1697" Type="http://schemas.openxmlformats.org/officeDocument/2006/relationships/hyperlink" Target="https://iberismo.wixsite.com/sociedadiberista" TargetMode="External"/><Relationship Id="rId2303" Type="http://schemas.openxmlformats.org/officeDocument/2006/relationships/hyperlink" Target="https://m.eldiario.es/internacional/Steve-Bannon-Orban-Pablo-Casado_0_837116460.html" TargetMode="External"/><Relationship Id="rId2510" Type="http://schemas.openxmlformats.org/officeDocument/2006/relationships/hyperlink" Target="http://dlvr.it/QrXZv9" TargetMode="External"/><Relationship Id="rId2748" Type="http://schemas.openxmlformats.org/officeDocument/2006/relationships/hyperlink" Target="http://www.guerraeterna.com/pablo-casado-contra-la-historia/" TargetMode="External"/><Relationship Id="rId2955" Type="http://schemas.openxmlformats.org/officeDocument/2006/relationships/hyperlink" Target="https://www.almendron.com/tribuna/?s=Guillermo+Gort%C3%A1zar" TargetMode="External"/><Relationship Id="rId927" Type="http://schemas.openxmlformats.org/officeDocument/2006/relationships/hyperlink" Target="https://www.moncloa.com/jaime-santos-pablo-casado-madrid/" TargetMode="External"/><Relationship Id="rId1112" Type="http://schemas.openxmlformats.org/officeDocument/2006/relationships/hyperlink" Target="https://www.instagram.com/p/BqcoAAOHadO/?utm_source=ig_twitter_share&amp;igshid=zzzxcqao5cqo" TargetMode="External"/><Relationship Id="rId1557" Type="http://schemas.openxmlformats.org/officeDocument/2006/relationships/hyperlink" Target="https://pbs.twimg.com/media/DscpXoKXgAU4H2h.jpg" TargetMode="External"/><Relationship Id="rId1764" Type="http://schemas.openxmlformats.org/officeDocument/2006/relationships/hyperlink" Target="https://www.eldiario.es/_31e5622c" TargetMode="External"/><Relationship Id="rId1971" Type="http://schemas.openxmlformats.org/officeDocument/2006/relationships/hyperlink" Target="https://pbs.twimg.com/media/DsYWSJ5W0AAhXQ8.jpg" TargetMode="External"/><Relationship Id="rId2608" Type="http://schemas.openxmlformats.org/officeDocument/2006/relationships/hyperlink" Target="https://www.youtube.com/channel/UCY60GBj-H8SmayRG1UgDVWw" TargetMode="External"/><Relationship Id="rId2815" Type="http://schemas.openxmlformats.org/officeDocument/2006/relationships/hyperlink" Target="https://goo.gl/tEwhcj" TargetMode="External"/><Relationship Id="rId56" Type="http://schemas.openxmlformats.org/officeDocument/2006/relationships/hyperlink" Target="https://www.vizify.com/julio-hinojo-lopez/twitter-video" TargetMode="External"/><Relationship Id="rId1417" Type="http://schemas.openxmlformats.org/officeDocument/2006/relationships/hyperlink" Target="https://www.tribunazamora.com/noticias/un-cosido-cuestionado-por-manejar-desde-atras-el-supremo-le-abre-otra-crisis-a-pablo-casado" TargetMode="External"/><Relationship Id="rId1624" Type="http://schemas.openxmlformats.org/officeDocument/2006/relationships/hyperlink" Target="https://pbs.twimg.com/media/DscXatjU8AMsxdm.jpg" TargetMode="External"/><Relationship Id="rId1831" Type="http://schemas.openxmlformats.org/officeDocument/2006/relationships/hyperlink" Target="http://nzzl.us/CAem3eI" TargetMode="External"/><Relationship Id="rId1929" Type="http://schemas.openxmlformats.org/officeDocument/2006/relationships/hyperlink" Target="https://www.elplural.com/opinion/los-calvitos/la-historia-segun-pablo-casado_206557102" TargetMode="External"/><Relationship Id="rId2093" Type="http://schemas.openxmlformats.org/officeDocument/2006/relationships/hyperlink" Target="https://m.eldiario.es/_316622b4" TargetMode="External"/><Relationship Id="rId2398" Type="http://schemas.openxmlformats.org/officeDocument/2006/relationships/hyperlink" Target="https://diario6.com/pablo-casado-al-igual-que-cospedal-tambien-se-reunio-con-villarejo/" TargetMode="External"/><Relationship Id="rId272" Type="http://schemas.openxmlformats.org/officeDocument/2006/relationships/hyperlink" Target="https://m.eldiario.es/31fba826_838576166/" TargetMode="External"/><Relationship Id="rId577" Type="http://schemas.openxmlformats.org/officeDocument/2006/relationships/hyperlink" Target="https://okdiario.com/espana/2018/11/22/casado-insiste-pacto-pp-cs-desbancar-diaz-del-gobierno-andaluz-3379177" TargetMode="External"/><Relationship Id="rId2160" Type="http://schemas.openxmlformats.org/officeDocument/2006/relationships/hyperlink" Target="https://laicismo.org/?p=189020" TargetMode="External"/><Relationship Id="rId2258" Type="http://schemas.openxmlformats.org/officeDocument/2006/relationships/hyperlink" Target="https://ift.tt/2QUoLge" TargetMode="External"/><Relationship Id="rId132" Type="http://schemas.openxmlformats.org/officeDocument/2006/relationships/hyperlink" Target="https://www.blogger.com/blogger.g?blogID=8333473903934007604" TargetMode="External"/><Relationship Id="rId784" Type="http://schemas.openxmlformats.org/officeDocument/2006/relationships/hyperlink" Target="https://m.eldiario.es/politica/Pablo-Casado-exaltacion-franquismo-probidida_0_838516217.html" TargetMode="External"/><Relationship Id="rId991" Type="http://schemas.openxmlformats.org/officeDocument/2006/relationships/hyperlink" Target="https://www.libertaddigital.com/espana/2018-11-21/pedro-sanchez-pide-a-casado-y-rufian-que-pidan-discupas-por-el-escupitajo-de-erc-a-borell-1276628638/" TargetMode="External"/><Relationship Id="rId1067" Type="http://schemas.openxmlformats.org/officeDocument/2006/relationships/hyperlink" Target="http://coordinadora25s.wordpress.com/" TargetMode="External"/><Relationship Id="rId2020" Type="http://schemas.openxmlformats.org/officeDocument/2006/relationships/hyperlink" Target="https://bit.ly/2DNNJeq" TargetMode="External"/><Relationship Id="rId2465" Type="http://schemas.openxmlformats.org/officeDocument/2006/relationships/hyperlink" Target="http://flip.it/2IGJHq" TargetMode="External"/><Relationship Id="rId2672" Type="http://schemas.openxmlformats.org/officeDocument/2006/relationships/hyperlink" Target="https://www.servimedia.es/noticias/1092919" TargetMode="External"/><Relationship Id="rId437" Type="http://schemas.openxmlformats.org/officeDocument/2006/relationships/hyperlink" Target="https://mizu38.wixsite.com/miguelizu" TargetMode="External"/><Relationship Id="rId644" Type="http://schemas.openxmlformats.org/officeDocument/2006/relationships/hyperlink" Target="http://ow.ly/4vE930mItMl" TargetMode="External"/><Relationship Id="rId851" Type="http://schemas.openxmlformats.org/officeDocument/2006/relationships/hyperlink" Target="https://pbs.twimg.com/media/DsmU1DjWwAAwzPQ.jpg" TargetMode="External"/><Relationship Id="rId1274" Type="http://schemas.openxmlformats.org/officeDocument/2006/relationships/hyperlink" Target="http://www.eldiario.es/" TargetMode="External"/><Relationship Id="rId1481" Type="http://schemas.openxmlformats.org/officeDocument/2006/relationships/hyperlink" Target="https://twitter.com/pablocasado_/status/1064598758489563139" TargetMode="External"/><Relationship Id="rId1579" Type="http://schemas.openxmlformats.org/officeDocument/2006/relationships/hyperlink" Target="http://www.expansion.com/" TargetMode="External"/><Relationship Id="rId2118" Type="http://schemas.openxmlformats.org/officeDocument/2006/relationships/hyperlink" Target="https://pbs.twimg.com/media/DsXLfIXXoAA7wqi.jpg" TargetMode="External"/><Relationship Id="rId2325" Type="http://schemas.openxmlformats.org/officeDocument/2006/relationships/hyperlink" Target="https://ift.tt/2OOrqq9" TargetMode="External"/><Relationship Id="rId2532" Type="http://schemas.openxmlformats.org/officeDocument/2006/relationships/hyperlink" Target="https://www.youtube.com/channel/UC1hWFGIVDCxG84qeRz-V2fw" TargetMode="External"/><Relationship Id="rId504" Type="http://schemas.openxmlformats.org/officeDocument/2006/relationships/hyperlink" Target="https://shop.spreadshirt.es/camioriginal" TargetMode="External"/><Relationship Id="rId711" Type="http://schemas.openxmlformats.org/officeDocument/2006/relationships/hyperlink" Target="http://blogs.libertaddigital.com/enigmas-del-11-m/" TargetMode="External"/><Relationship Id="rId949" Type="http://schemas.openxmlformats.org/officeDocument/2006/relationships/hyperlink" Target="https://pbs.twimg.com/media/DskvMUFXgAAc_KS.jpg" TargetMode="External"/><Relationship Id="rId1134" Type="http://schemas.openxmlformats.org/officeDocument/2006/relationships/hyperlink" Target="https://youtu.be/x3y5KhIJ9gg" TargetMode="External"/><Relationship Id="rId1341" Type="http://schemas.openxmlformats.org/officeDocument/2006/relationships/hyperlink" Target="http://matarocapital.cat/" TargetMode="External"/><Relationship Id="rId1786" Type="http://schemas.openxmlformats.org/officeDocument/2006/relationships/hyperlink" Target="https://ift.tt/2S2pE6F" TargetMode="External"/><Relationship Id="rId1993" Type="http://schemas.openxmlformats.org/officeDocument/2006/relationships/hyperlink" Target="http://diario16.com/denunciado-fiscal-pidio-archivo-del-caso-master-pablo-casado/" TargetMode="External"/><Relationship Id="rId2837" Type="http://schemas.openxmlformats.org/officeDocument/2006/relationships/hyperlink" Target="https://www.lavanguardia.com/politica/20181117/452992780484/pablo-casado-espana-no-colonizaba-tener-espana-mas-grande.html" TargetMode="External"/><Relationship Id="rId78" Type="http://schemas.openxmlformats.org/officeDocument/2006/relationships/hyperlink" Target="http://www.policiasparalademocracia.es/" TargetMode="External"/><Relationship Id="rId809" Type="http://schemas.openxmlformats.org/officeDocument/2006/relationships/hyperlink" Target="https://www.eldiario.es/politica/Pablo-Casado-exaltacion-franquismo-probidida_0_838516217.html" TargetMode="External"/><Relationship Id="rId1201" Type="http://schemas.openxmlformats.org/officeDocument/2006/relationships/hyperlink" Target="https://pbs.twimg.com/media/DshJRbnXgAEUjqv.jpg" TargetMode="External"/><Relationship Id="rId1439" Type="http://schemas.openxmlformats.org/officeDocument/2006/relationships/hyperlink" Target="https://curiouscat.me/RusiaBall" TargetMode="External"/><Relationship Id="rId1646" Type="http://schemas.openxmlformats.org/officeDocument/2006/relationships/hyperlink" Target="https://trib.al/rOkL8aR" TargetMode="External"/><Relationship Id="rId1853" Type="http://schemas.openxmlformats.org/officeDocument/2006/relationships/hyperlink" Target="http://www.cambio16.com/" TargetMode="External"/><Relationship Id="rId2904" Type="http://schemas.openxmlformats.org/officeDocument/2006/relationships/hyperlink" Target="http://instagram.com/marcmundet1978" TargetMode="External"/><Relationship Id="rId1506" Type="http://schemas.openxmlformats.org/officeDocument/2006/relationships/hyperlink" Target="https://www.youtube.com/watch?v=IZfcG0rPxrs" TargetMode="External"/><Relationship Id="rId1713" Type="http://schemas.openxmlformats.org/officeDocument/2006/relationships/hyperlink" Target="http://www.ames-fps.com/" TargetMode="External"/><Relationship Id="rId1920" Type="http://schemas.openxmlformats.org/officeDocument/2006/relationships/hyperlink" Target="http://diario16.com/denunciado-fiscal-pidio-archivo-del-caso-master-pablo-casado/" TargetMode="External"/><Relationship Id="rId294" Type="http://schemas.openxmlformats.org/officeDocument/2006/relationships/hyperlink" Target="https://m.eldiario.es/_31fba826" TargetMode="External"/><Relationship Id="rId2182" Type="http://schemas.openxmlformats.org/officeDocument/2006/relationships/hyperlink" Target="https://ciudadrealdigital.es/noticias/51596/Carmen/Quintanilla/monta/otro/sarao/con/mujeres/rurales/para/dar/a/conocer/a/Pablo/Casado" TargetMode="External"/><Relationship Id="rId154" Type="http://schemas.openxmlformats.org/officeDocument/2006/relationships/hyperlink" Target="https://www.eldiario.es/escolar/Pablo-Casado-Poder-Judicial-Cosido_6_838576166.html" TargetMode="External"/><Relationship Id="rId361" Type="http://schemas.openxmlformats.org/officeDocument/2006/relationships/hyperlink" Target="https://pbs.twimg.com/media/DsoWa1gW0AI4eU8.jpg" TargetMode="External"/><Relationship Id="rId599" Type="http://schemas.openxmlformats.org/officeDocument/2006/relationships/hyperlink" Target="http://facebook.com/luisvicentetor8" TargetMode="External"/><Relationship Id="rId2042" Type="http://schemas.openxmlformats.org/officeDocument/2006/relationships/hyperlink" Target="https://m.huffingtonpost.es/amp/2018/11/17/pablo-casado-los-espanoles-no-colonizabamos-lo-que-haciamos-era-tener-una-espana-mas-grande_a_23592393/?__twitter_impression=true" TargetMode="External"/><Relationship Id="rId2487" Type="http://schemas.openxmlformats.org/officeDocument/2006/relationships/hyperlink" Target="https://www.elmundo.es/andalucia/2018/11/18/5bf1600fe2704ed9718b45f0.html" TargetMode="External"/><Relationship Id="rId2694" Type="http://schemas.openxmlformats.org/officeDocument/2006/relationships/hyperlink" Target="https://www.azamblea.org/" TargetMode="External"/><Relationship Id="rId459" Type="http://schemas.openxmlformats.org/officeDocument/2006/relationships/hyperlink" Target="http://lagacetadealmeria.es/pablo-casado-visita-la-provincia-de-almeria/" TargetMode="External"/><Relationship Id="rId666" Type="http://schemas.openxmlformats.org/officeDocument/2006/relationships/hyperlink" Target="https://www.huffingtonpost.es/2018/11/22/tension-entre-pepa-bueno-y-pablo-casado-desde-esperanza-aguirre-no-he-tenido-tantas-dificultades-para-hacer-preguntas_a_23596803/" TargetMode="External"/><Relationship Id="rId873" Type="http://schemas.openxmlformats.org/officeDocument/2006/relationships/hyperlink" Target="https://www.eljueves.es/news/universidad-rey-juan-carlos-contrata-como-profesor-a-pablo-casado_2968?utm_source=twitter&amp;utm_medium=social&amp;utm_campaign=trafico" TargetMode="External"/><Relationship Id="rId1089" Type="http://schemas.openxmlformats.org/officeDocument/2006/relationships/hyperlink" Target="https://twitter.com/SebastianGR1965/status/1065274039944527872" TargetMode="External"/><Relationship Id="rId1296" Type="http://schemas.openxmlformats.org/officeDocument/2006/relationships/hyperlink" Target="https://www.elmundo.es/opinion/2018/11/21/5bf450a8e5fdea58018b4647.html" TargetMode="External"/><Relationship Id="rId2347" Type="http://schemas.openxmlformats.org/officeDocument/2006/relationships/hyperlink" Target="http://www.guerraeterna.com/pablo-casado-contra-la-historia/" TargetMode="External"/><Relationship Id="rId2554" Type="http://schemas.openxmlformats.org/officeDocument/2006/relationships/hyperlink" Target="http://dlvr.it/QrXPbY" TargetMode="External"/><Relationship Id="rId221" Type="http://schemas.openxmlformats.org/officeDocument/2006/relationships/hyperlink" Target="https://www.eldiario.es/_31fba826" TargetMode="External"/><Relationship Id="rId319" Type="http://schemas.openxmlformats.org/officeDocument/2006/relationships/hyperlink" Target="https://m.eldiario.es/politica/Pablo-Casado-exaltacion-franquismo-probidida_0_838516217.html" TargetMode="External"/><Relationship Id="rId526" Type="http://schemas.openxmlformats.org/officeDocument/2006/relationships/hyperlink" Target="http://www.facebook.com/saviscatalans" TargetMode="External"/><Relationship Id="rId1156" Type="http://schemas.openxmlformats.org/officeDocument/2006/relationships/hyperlink" Target="https://www.vozpopuli.com/politica/casado-tropieza-mandato-cosido-cospedal-santamaria_0_1192681876.html" TargetMode="External"/><Relationship Id="rId1363" Type="http://schemas.openxmlformats.org/officeDocument/2006/relationships/hyperlink" Target="http://www.thiscrush.com/~vectormgmg" TargetMode="External"/><Relationship Id="rId2207"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761" Type="http://schemas.openxmlformats.org/officeDocument/2006/relationships/hyperlink" Target="https://trib.al/apM21Cb" TargetMode="External"/><Relationship Id="rId2859" Type="http://schemas.openxmlformats.org/officeDocument/2006/relationships/hyperlink" Target="http://shr.gs/qHXeNCe" TargetMode="External"/><Relationship Id="rId733" Type="http://schemas.openxmlformats.org/officeDocument/2006/relationships/hyperlink" Target="https://www.facebook.com/abogadoabogado.es/videos/2209191442627904/" TargetMode="External"/><Relationship Id="rId940" Type="http://schemas.openxmlformats.org/officeDocument/2006/relationships/hyperlink" Target="https://goo.gl/cbUVGj" TargetMode="External"/><Relationship Id="rId1016" Type="http://schemas.openxmlformats.org/officeDocument/2006/relationships/hyperlink" Target="https://m.eldiario.es/_31f0145a" TargetMode="External"/><Relationship Id="rId1570" Type="http://schemas.openxmlformats.org/officeDocument/2006/relationships/hyperlink" Target="https://www.elmundo.es/espana/2018/11/20/5bf3eb5022601d317c8b45a2.html" TargetMode="External"/><Relationship Id="rId1668" Type="http://schemas.openxmlformats.org/officeDocument/2006/relationships/hyperlink" Target="http://www.grancanariatv.com/" TargetMode="External"/><Relationship Id="rId1875" Type="http://schemas.openxmlformats.org/officeDocument/2006/relationships/hyperlink" Target="https://twitter.com/ppopular/status/1064565431573213187" TargetMode="External"/><Relationship Id="rId2414" Type="http://schemas.openxmlformats.org/officeDocument/2006/relationships/hyperlink" Target="http://www.guerraeterna.com/pablo-casado-contra-la-historia/" TargetMode="External"/><Relationship Id="rId2621" Type="http://schemas.openxmlformats.org/officeDocument/2006/relationships/hyperlink" Target="https://pbs.twimg.com/media/DsS57p4XcAAvpzV.jpg" TargetMode="External"/><Relationship Id="rId2719" Type="http://schemas.openxmlformats.org/officeDocument/2006/relationships/hyperlink" Target="https://pbs.twimg.com/media/DsSehgVXgAAjF5j.jpg" TargetMode="External"/><Relationship Id="rId800" Type="http://schemas.openxmlformats.org/officeDocument/2006/relationships/hyperlink" Target="https://www.eljueves.es/news/universidad-rey-juan-carlos-contrata-como-profesor-a-pablo-casado_2968" TargetMode="External"/><Relationship Id="rId1223" Type="http://schemas.openxmlformats.org/officeDocument/2006/relationships/hyperlink" Target="https://www.europapress.es/andalucia/noticia-pedro-sanchez-pablo-casado-no-puede-aspirar-gobernar-andalucia-despreciando-andalucia-20181121103930.html" TargetMode="External"/><Relationship Id="rId1430" Type="http://schemas.openxmlformats.org/officeDocument/2006/relationships/hyperlink" Target="http://www.josediazherrera.com/" TargetMode="External"/><Relationship Id="rId1528" Type="http://schemas.openxmlformats.org/officeDocument/2006/relationships/hyperlink" Target="http://www.agentesmint.blogspot.com/" TargetMode="External"/><Relationship Id="rId2926" Type="http://schemas.openxmlformats.org/officeDocument/2006/relationships/hyperlink" Target="http://www.elvallenc.cat/autor/jaume-pros/" TargetMode="External"/><Relationship Id="rId1735" Type="http://schemas.openxmlformats.org/officeDocument/2006/relationships/hyperlink" Target="http://navarra.elespanol.com/opinion/autor/002529/javier-ancin" TargetMode="External"/><Relationship Id="rId1942" Type="http://schemas.openxmlformats.org/officeDocument/2006/relationships/hyperlink" Target="http://es-la.facebook.com/cecilio.castro.777" TargetMode="External"/><Relationship Id="rId27" Type="http://schemas.openxmlformats.org/officeDocument/2006/relationships/hyperlink" Target="https://www.eldiario.es/_31fba826" TargetMode="External"/><Relationship Id="rId1802" Type="http://schemas.openxmlformats.org/officeDocument/2006/relationships/hyperlink" Target="http://pic.twitter.com/TVkx3CxZB4" TargetMode="External"/><Relationship Id="rId176" Type="http://schemas.openxmlformats.org/officeDocument/2006/relationships/hyperlink" Target="http://eldiario.es/" TargetMode="External"/><Relationship Id="rId383" Type="http://schemas.openxmlformats.org/officeDocument/2006/relationships/hyperlink" Target="http://abogadosmedellin.mobi/aranjuez-medellin-abogados-civil" TargetMode="External"/><Relationship Id="rId590" Type="http://schemas.openxmlformats.org/officeDocument/2006/relationships/hyperlink" Target="https://twitter.com/n0avila/status/1065592636109725696" TargetMode="External"/><Relationship Id="rId2064" Type="http://schemas.openxmlformats.org/officeDocument/2006/relationships/hyperlink" Target="https://www.facebook.com/sepuedealmassora/posts/2239254099686392" TargetMode="External"/><Relationship Id="rId2271" Type="http://schemas.openxmlformats.org/officeDocument/2006/relationships/hyperlink" Target="https://nuevarevolucion.es/poesia-critica-coplas-de-mingo-revulgo-o-de-como-pablo-casado-logro-doblegar-la-naturaleza/" TargetMode="External"/><Relationship Id="rId243" Type="http://schemas.openxmlformats.org/officeDocument/2006/relationships/hyperlink" Target="https://m.eldiario.es/_31fba826" TargetMode="External"/><Relationship Id="rId450" Type="http://schemas.openxmlformats.org/officeDocument/2006/relationships/hyperlink" Target="https://pbs.twimg.com/media/Dso3g7lXQAEmIqr.jpg" TargetMode="External"/><Relationship Id="rId688" Type="http://schemas.openxmlformats.org/officeDocument/2006/relationships/hyperlink" Target="https://www.eldiario.es/_31fabdf9" TargetMode="External"/><Relationship Id="rId895" Type="http://schemas.openxmlformats.org/officeDocument/2006/relationships/hyperlink" Target="http://societatanonima.wordpress.com/" TargetMode="External"/><Relationship Id="rId1080" Type="http://schemas.openxmlformats.org/officeDocument/2006/relationships/hyperlink" Target="https://pbs.twimg.com/media/DsiomoWXcAA4FXl.jpg" TargetMode="External"/><Relationship Id="rId2131" Type="http://schemas.openxmlformats.org/officeDocument/2006/relationships/hyperlink" Target="https://www.lasexta.com/noticias/nacional/elecciones-andalucia/pablo-casado-se-apunta-al-revisionismo-historico-nosotros-no-colonizabamos-lo-que-haciamos-era-tener-una-espana-mas-grande-video_201811175bf050940cf288806d386365.html" TargetMode="External"/><Relationship Id="rId2369" Type="http://schemas.openxmlformats.org/officeDocument/2006/relationships/hyperlink" Target="https://m.eldiario.es/_316622b4" TargetMode="External"/><Relationship Id="rId2576" Type="http://schemas.openxmlformats.org/officeDocument/2006/relationships/hyperlink" Target="https://laicismo.org/pablo-casado-en-un-acto-del-pp-en-cordoba-la-catedral-tiene-que-seguir-administrada-por-la-iglesia/" TargetMode="External"/><Relationship Id="rId2783" Type="http://schemas.openxmlformats.org/officeDocument/2006/relationships/hyperlink" Target="https://laicismo.org/?p=189020" TargetMode="External"/><Relationship Id="rId103" Type="http://schemas.openxmlformats.org/officeDocument/2006/relationships/hyperlink" Target="https://twitter.com/RafaBriGal/status/1065901968353304576" TargetMode="External"/><Relationship Id="rId310" Type="http://schemas.openxmlformats.org/officeDocument/2006/relationships/hyperlink" Target="https://es.linkedin.com/in/julio-comendador-97657976" TargetMode="External"/><Relationship Id="rId548" Type="http://schemas.openxmlformats.org/officeDocument/2006/relationships/hyperlink" Target="https://m.eldiario.es/_31fabdf9" TargetMode="External"/><Relationship Id="rId755" Type="http://schemas.openxmlformats.org/officeDocument/2006/relationships/hyperlink" Target="http://www.elplural.com/" TargetMode="External"/><Relationship Id="rId962" Type="http://schemas.openxmlformats.org/officeDocument/2006/relationships/hyperlink" Target="http://www.facebook.com/HABLEMOSDEECONOMIAYCOMERCIO" TargetMode="External"/><Relationship Id="rId1178" Type="http://schemas.openxmlformats.org/officeDocument/2006/relationships/hyperlink" Target="https://www.eldiario.es/politica/PP-propone-enmienda-tomando-obsoletas_0_838166244.html" TargetMode="External"/><Relationship Id="rId1385" Type="http://schemas.openxmlformats.org/officeDocument/2006/relationships/hyperlink" Target="https://www.eldiario.es/politica/PP-retira-candidatos-CGPJ-Congreso_0_837817276.html" TargetMode="External"/><Relationship Id="rId1592" Type="http://schemas.openxmlformats.org/officeDocument/2006/relationships/hyperlink" Target="https://pbs.twimg.com/media/DscidPVXgAA7iY8.jpg" TargetMode="External"/><Relationship Id="rId2229" Type="http://schemas.openxmlformats.org/officeDocument/2006/relationships/hyperlink" Target="https://pbs.twimg.com/media/DsWkiXPWsAAtxqg.jpg" TargetMode="External"/><Relationship Id="rId2436" Type="http://schemas.openxmlformats.org/officeDocument/2006/relationships/hyperlink" Target="https://pbs.twimg.com/media/DsT3LwIXQAAH6d-.jpg" TargetMode="External"/><Relationship Id="rId2643" Type="http://schemas.openxmlformats.org/officeDocument/2006/relationships/hyperlink" Target="https://pbs.twimg.com/media/DsNLOnEXQAEoUnD.jpg" TargetMode="External"/><Relationship Id="rId2850" Type="http://schemas.openxmlformats.org/officeDocument/2006/relationships/hyperlink" Target="http://la-protestona.blogspot.com.es/" TargetMode="External"/><Relationship Id="rId91" Type="http://schemas.openxmlformats.org/officeDocument/2006/relationships/hyperlink" Target="https://www.youtube.com/channel/UCzAeV22GnQxwUBokDOEyb4A" TargetMode="External"/><Relationship Id="rId408" Type="http://schemas.openxmlformats.org/officeDocument/2006/relationships/hyperlink" Target="https://www.elperiodico.com/es/mas-periodico/20181110/america-violada-violencias-contra-mujeres-conquista-colonizacion-7137661?utm_source=twitter&amp;utm_medium=social" TargetMode="External"/><Relationship Id="rId615" Type="http://schemas.openxmlformats.org/officeDocument/2006/relationships/hyperlink" Target="http://youtu.be/-rYAYb8hm4c?a" TargetMode="External"/><Relationship Id="rId822" Type="http://schemas.openxmlformats.org/officeDocument/2006/relationships/hyperlink" Target="http://www.huffingtonpost.es/news/politica/" TargetMode="External"/><Relationship Id="rId1038" Type="http://schemas.openxmlformats.org/officeDocument/2006/relationships/hyperlink" Target="https://pbs.twimg.com/media/DsjLbt2UcAAWTyk.jpg" TargetMode="External"/><Relationship Id="rId1245" Type="http://schemas.openxmlformats.org/officeDocument/2006/relationships/hyperlink" Target="http://miguelrfervenza.com/" TargetMode="External"/><Relationship Id="rId1452" Type="http://schemas.openxmlformats.org/officeDocument/2006/relationships/hyperlink" Target="https://www.nuevatribuna.es/opinion/jose-luis-lopez-bulla/violetas-imperiales-pablo-casado/20181120103644157616.html" TargetMode="External"/><Relationship Id="rId1897" Type="http://schemas.openxmlformats.org/officeDocument/2006/relationships/hyperlink" Target="http://www.elperiodico.com/" TargetMode="External"/><Relationship Id="rId2503" Type="http://schemas.openxmlformats.org/officeDocument/2006/relationships/hyperlink" Target="http://www.flickr.com/photos/alber_olano/" TargetMode="External"/><Relationship Id="rId2948" Type="http://schemas.openxmlformats.org/officeDocument/2006/relationships/hyperlink" Target="https://www.huffingtonpost.es/2018/11/17/pablo-casado-los-espanoles-no-colonizabamos-lo-que-haciamos-era-tener-una-espana-mas-grande_a_23592393/?ncid=other_twitter_cooo9wqtham&amp;utm_campaign=share_twitterhac" TargetMode="External"/><Relationship Id="rId1105" Type="http://schemas.openxmlformats.org/officeDocument/2006/relationships/hyperlink" Target="https://www.vozpopuli.com/_4716e194" TargetMode="External"/><Relationship Id="rId1312" Type="http://schemas.openxmlformats.org/officeDocument/2006/relationships/hyperlink" Target="http://www.cambio16.com/" TargetMode="External"/><Relationship Id="rId1757" Type="http://schemas.openxmlformats.org/officeDocument/2006/relationships/hyperlink" Target="https://www.elperiodico.com/es/politica/20181119/cosido-piedra-zapato-pablo-casado-7156422?utm_source=twitter&amp;utm_medium=social" TargetMode="External"/><Relationship Id="rId1964" Type="http://schemas.openxmlformats.org/officeDocument/2006/relationships/hyperlink" Target="https://pbs.twimg.com/media/DsYY84qW0AElwrs.jpg" TargetMode="External"/><Relationship Id="rId2710" Type="http://schemas.openxmlformats.org/officeDocument/2006/relationships/hyperlink" Target="http://www.noticias24horas.com/mas-gibraltar-espanol-eficaz-y-legal-ante-un-saturado-gibraltar-ingles/" TargetMode="External"/><Relationship Id="rId2808" Type="http://schemas.openxmlformats.org/officeDocument/2006/relationships/hyperlink" Target="https://m.eldiario.es/_316622b4" TargetMode="External"/><Relationship Id="rId49" Type="http://schemas.openxmlformats.org/officeDocument/2006/relationships/hyperlink" Target="https://www.facebook.com/lavapiesrepublicano/" TargetMode="External"/><Relationship Id="rId1617" Type="http://schemas.openxmlformats.org/officeDocument/2006/relationships/hyperlink" Target="http://www.diario16.com/" TargetMode="External"/><Relationship Id="rId1824" Type="http://schemas.openxmlformats.org/officeDocument/2006/relationships/hyperlink" Target="https://www.eldiario.es/_31e5622c" TargetMode="External"/><Relationship Id="rId198" Type="http://schemas.openxmlformats.org/officeDocument/2006/relationships/hyperlink" Target="https://www.eldiario.es/_31fba826" TargetMode="External"/><Relationship Id="rId2086" Type="http://schemas.openxmlformats.org/officeDocument/2006/relationships/hyperlink" Target="https://www.eldiario.es/internacional/Steve-Bannon-Orban-Pablo-Casado_0_837116460.html" TargetMode="External"/><Relationship Id="rId2293" Type="http://schemas.openxmlformats.org/officeDocument/2006/relationships/hyperlink" Target="http://lamiradaeuropea.com/" TargetMode="External"/><Relationship Id="rId2598" Type="http://schemas.openxmlformats.org/officeDocument/2006/relationships/hyperlink" Target="http://www.lavanguardia.com/" TargetMode="External"/><Relationship Id="rId265" Type="http://schemas.openxmlformats.org/officeDocument/2006/relationships/hyperlink" Target="http://mesademezclas.blogspot.com/" TargetMode="External"/><Relationship Id="rId472" Type="http://schemas.openxmlformats.org/officeDocument/2006/relationships/hyperlink" Target="https://www.eljueves.es/news/universidad-rey-juan-carlos-contrata-como-profesor-a-pablo-casado_2968" TargetMode="External"/><Relationship Id="rId2153"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360" Type="http://schemas.openxmlformats.org/officeDocument/2006/relationships/hyperlink" Target="http://pic.twitter.com/9Ph74CoFOm" TargetMode="External"/><Relationship Id="rId125" Type="http://schemas.openxmlformats.org/officeDocument/2006/relationships/hyperlink" Target="https://www.eljueves.es/news/pablo-casado-intenta-comprar-remesa-esclavos-black-friday_2970" TargetMode="External"/><Relationship Id="rId332" Type="http://schemas.openxmlformats.org/officeDocument/2006/relationships/hyperlink" Target="https://m.eldiario.es/_31fba826" TargetMode="External"/><Relationship Id="rId777" Type="http://schemas.openxmlformats.org/officeDocument/2006/relationships/hyperlink" Target="https://leotaxil.wordpress.com/" TargetMode="External"/><Relationship Id="rId984" Type="http://schemas.openxmlformats.org/officeDocument/2006/relationships/hyperlink" Target="https://twitter.com/PPopular/status/1065179372133335040" TargetMode="External"/><Relationship Id="rId2013" Type="http://schemas.openxmlformats.org/officeDocument/2006/relationships/hyperlink" Target="https://goo.gl/XPaJPL" TargetMode="External"/><Relationship Id="rId2220" Type="http://schemas.openxmlformats.org/officeDocument/2006/relationships/hyperlink" Target="https://www.facebook.com/lacorruptecapublica/?ref=settings" TargetMode="External"/><Relationship Id="rId2458" Type="http://schemas.openxmlformats.org/officeDocument/2006/relationships/hyperlink" Target="https://pbs.twimg.com/media/DsNLOnEXQAEoUnD.jpg" TargetMode="External"/><Relationship Id="rId2665" Type="http://schemas.openxmlformats.org/officeDocument/2006/relationships/hyperlink" Target="https://www.elmundo.es/andalucia/2018/11/18/5bf1600fe2704ed9718b45f0.html" TargetMode="External"/><Relationship Id="rId2872" Type="http://schemas.openxmlformats.org/officeDocument/2006/relationships/hyperlink" Target="http://fdbetancor.com/" TargetMode="External"/><Relationship Id="rId637" Type="http://schemas.openxmlformats.org/officeDocument/2006/relationships/hyperlink" Target="http://www.elisadocio.com/" TargetMode="External"/><Relationship Id="rId844" Type="http://schemas.openxmlformats.org/officeDocument/2006/relationships/hyperlink" Target="https://pbs.twimg.com/media/DsmZafcXgAAgDsU.jpg" TargetMode="External"/><Relationship Id="rId1267" Type="http://schemas.openxmlformats.org/officeDocument/2006/relationships/hyperlink" Target="http://felixalvarez66.blogspot.com/" TargetMode="External"/><Relationship Id="rId1474" Type="http://schemas.openxmlformats.org/officeDocument/2006/relationships/hyperlink" Target="http://esradio.libertaddigital.com/es-la-tarde-de-dieter/" TargetMode="External"/><Relationship Id="rId1681" Type="http://schemas.openxmlformats.org/officeDocument/2006/relationships/hyperlink" Target="http://huelvabuenasnoticias.com/2018/11/20/el-lider-del-partido-popular-pablo-casado-visita-huelva/" TargetMode="External"/><Relationship Id="rId2318" Type="http://schemas.openxmlformats.org/officeDocument/2006/relationships/hyperlink" Target="http://veoinfo.com/" TargetMode="External"/><Relationship Id="rId2525" Type="http://schemas.openxmlformats.org/officeDocument/2006/relationships/hyperlink" Target="https://www.diariodejerez.es/emilio_canas/" TargetMode="External"/><Relationship Id="rId2732" Type="http://schemas.openxmlformats.org/officeDocument/2006/relationships/hyperlink" Target="http://www.guerraeterna.com/pablo-casado-contra-la-historia/" TargetMode="External"/><Relationship Id="rId704" Type="http://schemas.openxmlformats.org/officeDocument/2006/relationships/hyperlink" Target="https://pbs.twimg.com/media/Dsl_NCQUwAEWVoD.jpg" TargetMode="External"/><Relationship Id="rId911" Type="http://schemas.openxmlformats.org/officeDocument/2006/relationships/hyperlink" Target="http://emilioivars.es/" TargetMode="External"/><Relationship Id="rId1127" Type="http://schemas.openxmlformats.org/officeDocument/2006/relationships/hyperlink" Target="https://elpais.com/politica/2018/11/21/actualidad/1542795112_974513.html" TargetMode="External"/><Relationship Id="rId1334" Type="http://schemas.openxmlformats.org/officeDocument/2006/relationships/hyperlink" Target="https://www.ecorepublicano.es/2018/11/anabel-alonso-destroza-pablo-casado-en.html?m=1" TargetMode="External"/><Relationship Id="rId1541" Type="http://schemas.openxmlformats.org/officeDocument/2006/relationships/hyperlink" Target="https://noticierouniversal.com/actualidad/pablo-casado-abre-las-puertas-a-ilegalizar-algunos-credos-inasumibles-que-acaban-en-una-radicalizacion-violenta/" TargetMode="External"/><Relationship Id="rId1779" Type="http://schemas.openxmlformats.org/officeDocument/2006/relationships/hyperlink" Target="http://www.expansion.com/blogs/peon-de-dama/2018/10/18/pablo-casado-y-la-computacion-cuantica.html" TargetMode="External"/><Relationship Id="rId1986"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40" Type="http://schemas.openxmlformats.org/officeDocument/2006/relationships/hyperlink" Target="http://pic.twitter.com/ciolWNMder" TargetMode="External"/><Relationship Id="rId1401" Type="http://schemas.openxmlformats.org/officeDocument/2006/relationships/hyperlink" Target="https://twitter.com/pablocasado_/status/1064961885383114754?s=04" TargetMode="External"/><Relationship Id="rId1639" Type="http://schemas.openxmlformats.org/officeDocument/2006/relationships/hyperlink" Target="https://www.elmundo.es/espana/2018/11/20/5bf3eb5022601d317c8b45a2.html" TargetMode="External"/><Relationship Id="rId1846" Type="http://schemas.openxmlformats.org/officeDocument/2006/relationships/hyperlink" Target="https://pbs.twimg.com/media/DsZPfYSXgAANjU4.jpg" TargetMode="External"/><Relationship Id="rId1706" Type="http://schemas.openxmlformats.org/officeDocument/2006/relationships/hyperlink" Target="https://www.dclm.es/noticias/79148/ochenta-policias-para-recuperar-documentos-de-barcenas-y-ocultarlos-a-la-justicia" TargetMode="External"/><Relationship Id="rId1913" Type="http://schemas.openxmlformats.org/officeDocument/2006/relationships/hyperlink" Target="http://www.carolgalais.com/" TargetMode="External"/><Relationship Id="rId287" Type="http://schemas.openxmlformats.org/officeDocument/2006/relationships/hyperlink" Target="https://pbs.twimg.com/media/Dsq-3Q0X4AE0kLF.jpg" TargetMode="External"/><Relationship Id="rId494" Type="http://schemas.openxmlformats.org/officeDocument/2006/relationships/hyperlink" Target="http://goo.gl/alerts/uC72G" TargetMode="External"/><Relationship Id="rId2175"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382" Type="http://schemas.openxmlformats.org/officeDocument/2006/relationships/hyperlink" Target="https://www.elplural.com/opinion/los-calvitos/la-historia-segun-pablo-casado_206557102" TargetMode="External"/><Relationship Id="rId147" Type="http://schemas.openxmlformats.org/officeDocument/2006/relationships/hyperlink" Target="https://m.eldiario.es/_31fba826" TargetMode="External"/><Relationship Id="rId354" Type="http://schemas.openxmlformats.org/officeDocument/2006/relationships/hyperlink" Target="https://m.eldiario.es/_31fba826" TargetMode="External"/><Relationship Id="rId799" Type="http://schemas.openxmlformats.org/officeDocument/2006/relationships/hyperlink" Target="https://ift.tt/2r1GQxI" TargetMode="External"/><Relationship Id="rId1191" Type="http://schemas.openxmlformats.org/officeDocument/2006/relationships/hyperlink" Target="http://diario16.com/rivera-se-niega-calificar-vox-partido-extrema-derecha/" TargetMode="External"/><Relationship Id="rId2035" Type="http://schemas.openxmlformats.org/officeDocument/2006/relationships/hyperlink" Target="https://diario6.com/pablo-casado-al-igual-que-cospedal-tambien-se-reunio-con-villarejo/" TargetMode="External"/><Relationship Id="rId2687" Type="http://schemas.openxmlformats.org/officeDocument/2006/relationships/hyperlink" Target="http://pic.twitter.com/qYu9Ijsyhk" TargetMode="External"/><Relationship Id="rId2894" Type="http://schemas.openxmlformats.org/officeDocument/2006/relationships/hyperlink" Target="https://pbs.twimg.com/media/DsRnJcEXQAACIWf.jpg" TargetMode="External"/><Relationship Id="rId561" Type="http://schemas.openxmlformats.org/officeDocument/2006/relationships/hyperlink" Target="https://www.eldiario.es/politica/Pablo-Casado-exaltacion-franquismo-probidida_0_838516217.html" TargetMode="External"/><Relationship Id="rId659" Type="http://schemas.openxmlformats.org/officeDocument/2006/relationships/hyperlink" Target="https://www.eljueves.es/news/universidad-rey-juan-carlos-contrata-como-profesor-a-pablo-casado_2968?utm_source=facebook&amp;utm_medium=social&amp;utm_campaign=trafico" TargetMode="External"/><Relationship Id="rId866" Type="http://schemas.openxmlformats.org/officeDocument/2006/relationships/hyperlink" Target="http://www.lasexta.com/noticias/" TargetMode="External"/><Relationship Id="rId1289" Type="http://schemas.openxmlformats.org/officeDocument/2006/relationships/hyperlink" Target="http://flip.it/mt24Zn" TargetMode="External"/><Relationship Id="rId1496" Type="http://schemas.openxmlformats.org/officeDocument/2006/relationships/hyperlink" Target="https://ift.tt/2FvpC5S" TargetMode="External"/><Relationship Id="rId2242" Type="http://schemas.openxmlformats.org/officeDocument/2006/relationships/hyperlink" Target="http://diario16.com/denunciado-fiscal-pidio-archivo-del-caso-master-pablo-casado/" TargetMode="External"/><Relationship Id="rId2547" Type="http://schemas.openxmlformats.org/officeDocument/2006/relationships/hyperlink" Target="http://palencia.cnt.es/2018/10/06/memoria-historica-la-union-de-hermanos-proletarios-uhp-la-revoluci" TargetMode="External"/><Relationship Id="rId214" Type="http://schemas.openxmlformats.org/officeDocument/2006/relationships/hyperlink" Target="https://www.eldiario.es/_31fba826" TargetMode="External"/><Relationship Id="rId421" Type="http://schemas.openxmlformats.org/officeDocument/2006/relationships/hyperlink" Target="https://pbs.twimg.com/media/DsoteRRV4AAO1jd.jpg" TargetMode="External"/><Relationship Id="rId519" Type="http://schemas.openxmlformats.org/officeDocument/2006/relationships/hyperlink" Target="http://rtn.com/" TargetMode="External"/><Relationship Id="rId1051" Type="http://schemas.openxmlformats.org/officeDocument/2006/relationships/hyperlink" Target="https://www.nuevatribuna.es/opinion/jose-luis-lopez-bulla/violetas-imperiales-pablo-casado/20181120103644157616.html" TargetMode="External"/><Relationship Id="rId1149" Type="http://schemas.openxmlformats.org/officeDocument/2006/relationships/hyperlink" Target="https://www.facebook.com/pages/Partido-Vecinal-Regionalista-PVRE-Chiclana/533261570044114?ref=hl" TargetMode="External"/><Relationship Id="rId1356" Type="http://schemas.openxmlformats.org/officeDocument/2006/relationships/hyperlink" Target="http://diario16.com/cosido-me-siento-plenamente-respaldado-pablo-casado/" TargetMode="External"/><Relationship Id="rId2102" Type="http://schemas.openxmlformats.org/officeDocument/2006/relationships/hyperlink" Target="https://pbs.twimg.com/media/DsXQFtzXQAAePqg.jpg" TargetMode="External"/><Relationship Id="rId2754" Type="http://schemas.openxmlformats.org/officeDocument/2006/relationships/hyperlink" Target="http://www.eldiario.es/" TargetMode="External"/><Relationship Id="rId2961" Type="http://schemas.openxmlformats.org/officeDocument/2006/relationships/hyperlink" Target="https://www.libertaddigital.com/opinion/federico-jimenez-losantos/el-misterio-del-suicidio-de-casado-con-el-veneno-de-rajoy-86505/?utm_source=dlvr.it&amp;utm_medium=twitter" TargetMode="External"/><Relationship Id="rId726" Type="http://schemas.openxmlformats.org/officeDocument/2006/relationships/hyperlink" Target="https://pbs.twimg.com/media/Dsm8pSFXQAAnawj.jpg" TargetMode="External"/><Relationship Id="rId933" Type="http://schemas.openxmlformats.org/officeDocument/2006/relationships/hyperlink" Target="https://www.moncloa.com/" TargetMode="External"/><Relationship Id="rId1009" Type="http://schemas.openxmlformats.org/officeDocument/2006/relationships/hyperlink" Target="http://espana.abc.es/ccqrs2" TargetMode="External"/><Relationship Id="rId1563" Type="http://schemas.openxmlformats.org/officeDocument/2006/relationships/hyperlink" Target="http://www.pressdigital.es/" TargetMode="External"/><Relationship Id="rId1770" Type="http://schemas.openxmlformats.org/officeDocument/2006/relationships/hyperlink" Target="https://www.youtube.com/channel/UCsvn_Po0SmunchJYOWpOxMg" TargetMode="External"/><Relationship Id="rId1868" Type="http://schemas.openxmlformats.org/officeDocument/2006/relationships/hyperlink" Target="http://www.eldiario.es/" TargetMode="External"/><Relationship Id="rId2407" Type="http://schemas.openxmlformats.org/officeDocument/2006/relationships/hyperlink" Target="http://www.japalpilpa.com/" TargetMode="External"/><Relationship Id="rId2614" Type="http://schemas.openxmlformats.org/officeDocument/2006/relationships/hyperlink" Target="https://www.elmundo.es/andalucia/2018/11/18/5bf1600fe2704ed9718b45f0.html" TargetMode="External"/><Relationship Id="rId2821" Type="http://schemas.openxmlformats.org/officeDocument/2006/relationships/hyperlink" Target="http://elpais.com/autor/natalia_junquera/a/" TargetMode="External"/><Relationship Id="rId62" Type="http://schemas.openxmlformats.org/officeDocument/2006/relationships/hyperlink" Target="https://ctxt.es/es/20181121/Politica/22989/manu-garrido-elecciones-andaluc%C3%ADa-PP-Pablo-casado-campa%C3%B1a-sin-candidato-VOX.htm" TargetMode="External"/><Relationship Id="rId1216" Type="http://schemas.openxmlformats.org/officeDocument/2006/relationships/hyperlink" Target="https://www.facebook.com/PPTijola" TargetMode="External"/><Relationship Id="rId1423" Type="http://schemas.openxmlformats.org/officeDocument/2006/relationships/hyperlink" Target="https://www.elmundotoday.com/2018/11/pedro-sanchez-y-pablo-casado-trabajaran-como-jueces-por-las-tardes-mientras-no-se-escoja-a-un-nuevo-presidente-del-poder-judicial/" TargetMode="External"/><Relationship Id="rId1630" Type="http://schemas.openxmlformats.org/officeDocument/2006/relationships/hyperlink" Target="https://pbs.twimg.com/media/DscVODaWsAYtwOA.jpg" TargetMode="External"/><Relationship Id="rId2919" Type="http://schemas.openxmlformats.org/officeDocument/2006/relationships/hyperlink" Target="http://francisco-esteban.com/" TargetMode="External"/><Relationship Id="rId1728" Type="http://schemas.openxmlformats.org/officeDocument/2006/relationships/hyperlink" Target="https://www.elconfidencial.com/espana/2018-11-20/marchena-se-retira-de-la-presidencia-del-supremo-tras-los-mensajes-de-cosido_1656766/?utm_source=facebook&amp;utm_medium=social&amp;utm_campaign=ECDiarioManual" TargetMode="External"/><Relationship Id="rId1935" Type="http://schemas.openxmlformats.org/officeDocument/2006/relationships/hyperlink" Target="https://pbs.twimg.com/media/DsYqr98WoAEj4Lr.jpg" TargetMode="External"/><Relationship Id="rId2197" Type="http://schemas.openxmlformats.org/officeDocument/2006/relationships/hyperlink" Target="http://www.guerraeterna.com/pablo-casado-contra-la-historia/" TargetMode="External"/><Relationship Id="rId169" Type="http://schemas.openxmlformats.org/officeDocument/2006/relationships/hyperlink" Target="https://www.eldiario.es/_31fba826" TargetMode="External"/><Relationship Id="rId376" Type="http://schemas.openxmlformats.org/officeDocument/2006/relationships/hyperlink" Target="https://pbs.twimg.com/media/Dsqc45OVsAAM_9k.jpg" TargetMode="External"/><Relationship Id="rId583" Type="http://schemas.openxmlformats.org/officeDocument/2006/relationships/hyperlink" Target="http://va.newsrepublic.net/s/UdTdsY" TargetMode="External"/><Relationship Id="rId790" Type="http://schemas.openxmlformats.org/officeDocument/2006/relationships/hyperlink" Target="http://www.huffingtonpost.es/" TargetMode="External"/><Relationship Id="rId2057" Type="http://schemas.openxmlformats.org/officeDocument/2006/relationships/hyperlink" Target="https://pbs.twimg.com/media/DsXeAseXcAUMlz_.jpg" TargetMode="External"/><Relationship Id="rId2264" Type="http://schemas.openxmlformats.org/officeDocument/2006/relationships/hyperlink" Target="https://pbs.twimg.com/media/DsWVvtZWkAAY8_h.jpg" TargetMode="External"/><Relationship Id="rId2471" Type="http://schemas.openxmlformats.org/officeDocument/2006/relationships/hyperlink" Target="http://skakeo.blogspot.com/" TargetMode="External"/><Relationship Id="rId4" Type="http://schemas.openxmlformats.org/officeDocument/2006/relationships/hyperlink" Target="https://www.eldiario.es/escolar/Pablo-Casado-Poder-Judicial-Cosido_6_838576166.html" TargetMode="External"/><Relationship Id="rId236" Type="http://schemas.openxmlformats.org/officeDocument/2006/relationships/hyperlink" Target="https://yopsramon.wordpress.com/" TargetMode="External"/><Relationship Id="rId443" Type="http://schemas.openxmlformats.org/officeDocument/2006/relationships/hyperlink" Target="https://m.eldiario.es/31fba826_838576166/" TargetMode="External"/><Relationship Id="rId650" Type="http://schemas.openxmlformats.org/officeDocument/2006/relationships/hyperlink" Target="http://instagram.com/andresisoone" TargetMode="External"/><Relationship Id="rId888" Type="http://schemas.openxmlformats.org/officeDocument/2006/relationships/hyperlink" Target="http://www.ninestoriesband.com/" TargetMode="External"/><Relationship Id="rId1073" Type="http://schemas.openxmlformats.org/officeDocument/2006/relationships/hyperlink" Target="https://okdiario.com/espana/2018/11/21/casado-propone-que-jueces-elijan-cgpj-mientras-sanchez-aferra-reparto-politico-3374499" TargetMode="External"/><Relationship Id="rId1280" Type="http://schemas.openxmlformats.org/officeDocument/2006/relationships/hyperlink" Target="https://www.lavanguardia.com/vida/20181120/453068976363/casado-propone-a-fatima-banez-para-presidir-la-comision-de-exteriores-del-congreso-en-sustitucion-de-cospedal.html" TargetMode="External"/><Relationship Id="rId2124" Type="http://schemas.openxmlformats.org/officeDocument/2006/relationships/hyperlink" Target="https://www.lavanguardia.com/politica/20181117/452992780484/pablo-casado-espana-no-colonizaba-tener-espana-mas-grande.html" TargetMode="External"/><Relationship Id="rId2331" Type="http://schemas.openxmlformats.org/officeDocument/2006/relationships/hyperlink" Target="https://m.eldiario.es/_316622b4" TargetMode="External"/><Relationship Id="rId2569" Type="http://schemas.openxmlformats.org/officeDocument/2006/relationships/hyperlink" Target="https://laicismo.org/pablo-casado-en-un-acto-del-pp-en-cordoba-la-catedral-tiene-que-seguir-administrada-por-la-iglesia/" TargetMode="External"/><Relationship Id="rId2776" Type="http://schemas.openxmlformats.org/officeDocument/2006/relationships/hyperlink" Target="https://www.europapress.es/castilla-lamancha/noticia-pablo-casado-abrira-12-diciembre-ii-congreso-internacional-afammer-charla-libertad-igualdad-20181118112335.html" TargetMode="External"/><Relationship Id="rId303" Type="http://schemas.openxmlformats.org/officeDocument/2006/relationships/hyperlink" Target="https://m.eldiario.es/31fba826_838576166/" TargetMode="External"/><Relationship Id="rId748" Type="http://schemas.openxmlformats.org/officeDocument/2006/relationships/hyperlink" Target="http://eltitulodehoyes.blogspot.com.es/" TargetMode="External"/><Relationship Id="rId955" Type="http://schemas.openxmlformats.org/officeDocument/2006/relationships/hyperlink" Target="https://ift.tt/2DDPkTn" TargetMode="External"/><Relationship Id="rId1140" Type="http://schemas.openxmlformats.org/officeDocument/2006/relationships/hyperlink" Target="https://goo.gl/46ZKZJ" TargetMode="External"/><Relationship Id="rId1378" Type="http://schemas.openxmlformats.org/officeDocument/2006/relationships/hyperlink" Target="http://gaab75.blogspot.com/" TargetMode="External"/><Relationship Id="rId1585" Type="http://schemas.openxmlformats.org/officeDocument/2006/relationships/hyperlink" Target="http://www.agustin-millan.photos/" TargetMode="External"/><Relationship Id="rId1792" Type="http://schemas.openxmlformats.org/officeDocument/2006/relationships/hyperlink" Target="https://twitter.com/merijorichmond/status/1064609411950411777" TargetMode="External"/><Relationship Id="rId2429" Type="http://schemas.openxmlformats.org/officeDocument/2006/relationships/hyperlink" Target="https://youtu.be/x3y5KhIJ9gg" TargetMode="External"/><Relationship Id="rId2636" Type="http://schemas.openxmlformats.org/officeDocument/2006/relationships/hyperlink" Target="http://www.antena3.com/noticias/" TargetMode="External"/><Relationship Id="rId2843" Type="http://schemas.openxmlformats.org/officeDocument/2006/relationships/hyperlink" Target="http://www.abc.es/blogs/calleja/" TargetMode="External"/><Relationship Id="rId84" Type="http://schemas.openxmlformats.org/officeDocument/2006/relationships/hyperlink" Target="https://www.youtube.com/watch?v=m2RLNV9tJ9I" TargetMode="External"/><Relationship Id="rId510" Type="http://schemas.openxmlformats.org/officeDocument/2006/relationships/hyperlink" Target="https://www.eldiario.es/_31fabdf9" TargetMode="External"/><Relationship Id="rId608" Type="http://schemas.openxmlformats.org/officeDocument/2006/relationships/hyperlink" Target="https://pbs.twimg.com/media/Dsn7juZXoAAYl2F.jpg" TargetMode="External"/><Relationship Id="rId815" Type="http://schemas.openxmlformats.org/officeDocument/2006/relationships/hyperlink" Target="http://liverdades.com/" TargetMode="External"/><Relationship Id="rId1238" Type="http://schemas.openxmlformats.org/officeDocument/2006/relationships/hyperlink" Target="https://ift.tt/2S02VrY" TargetMode="External"/><Relationship Id="rId1445" Type="http://schemas.openxmlformats.org/officeDocument/2006/relationships/hyperlink" Target="http://radiolecostaluz.com/" TargetMode="External"/><Relationship Id="rId1652" Type="http://schemas.openxmlformats.org/officeDocument/2006/relationships/hyperlink" Target="https://pbs.twimg.com/media/DscPSzIXcAA5rV8.jpg" TargetMode="External"/><Relationship Id="rId1000" Type="http://schemas.openxmlformats.org/officeDocument/2006/relationships/hyperlink" Target="https://www.libertaddigital.com/espana/2018-11-21/pedro-sanchez-pide-a-casado-y-rufian-que-pidan-discupas-por-el-escupitajo-de-erc-a-borell-1276628638/" TargetMode="External"/><Relationship Id="rId1305" Type="http://schemas.openxmlformats.org/officeDocument/2006/relationships/hyperlink" Target="https://twitter.com/pablocasado_/status/1064984130562244608?s=19" TargetMode="External"/><Relationship Id="rId1957" Type="http://schemas.openxmlformats.org/officeDocument/2006/relationships/hyperlink" Target="https://www.facebook.com/abogadoabogado.es/videos/275049986530464/" TargetMode="External"/><Relationship Id="rId2703"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910" Type="http://schemas.openxmlformats.org/officeDocument/2006/relationships/hyperlink" Target="http://pic.twitter.com/1MY9IqUtXQ" TargetMode="External"/><Relationship Id="rId1512" Type="http://schemas.openxmlformats.org/officeDocument/2006/relationships/hyperlink" Target="http://www.periodistadigital.com/" TargetMode="External"/><Relationship Id="rId1817" Type="http://schemas.openxmlformats.org/officeDocument/2006/relationships/hyperlink" Target="https://goo.gl/vTILVF" TargetMode="External"/><Relationship Id="rId11" Type="http://schemas.openxmlformats.org/officeDocument/2006/relationships/hyperlink" Target="https://noticiasgibraltar.es/campo-gibraltar/noticias/3978/casado-apoyara-al-gobierno-aunque-haga-tarde-y-mal-y-landaluce-se" TargetMode="External"/><Relationship Id="rId398" Type="http://schemas.openxmlformats.org/officeDocument/2006/relationships/hyperlink" Target="http://www.elisadocio.com/" TargetMode="External"/><Relationship Id="rId2079" Type="http://schemas.openxmlformats.org/officeDocument/2006/relationships/hyperlink" Target="https://www.eljueves.es/news/pablo-casado-propone-invadir-polonia-para-hacer-espana-mas-grande_2959" TargetMode="External"/><Relationship Id="rId160" Type="http://schemas.openxmlformats.org/officeDocument/2006/relationships/hyperlink" Target="https://m.eldiario.es/31fba826_838576166/" TargetMode="External"/><Relationship Id="rId2286" Type="http://schemas.openxmlformats.org/officeDocument/2006/relationships/hyperlink" Target="https://www.eldiario.es/_31e5622c" TargetMode="External"/><Relationship Id="rId2493" Type="http://schemas.openxmlformats.org/officeDocument/2006/relationships/hyperlink" Target="http://ddjerez.info/oveen1" TargetMode="External"/><Relationship Id="rId258" Type="http://schemas.openxmlformats.org/officeDocument/2006/relationships/hyperlink" Target="http://encuadreslejanos.blogspot.com.es/" TargetMode="External"/><Relationship Id="rId465" Type="http://schemas.openxmlformats.org/officeDocument/2006/relationships/hyperlink" Target="http://www.ctxt.es/" TargetMode="External"/><Relationship Id="rId672" Type="http://schemas.openxmlformats.org/officeDocument/2006/relationships/hyperlink" Target="https://m.eldiario.es/31fabdf9_838516217/" TargetMode="External"/><Relationship Id="rId1095" Type="http://schemas.openxmlformats.org/officeDocument/2006/relationships/hyperlink" Target="https://pbs.twimg.com/media/DsZb_2kWoAATMlV.jpg" TargetMode="External"/><Relationship Id="rId2146" Type="http://schemas.openxmlformats.org/officeDocument/2006/relationships/hyperlink" Target="http://barcelona56.wordpress.com/" TargetMode="External"/><Relationship Id="rId2353" Type="http://schemas.openxmlformats.org/officeDocument/2006/relationships/hyperlink" Target="https://www.lavanguardia.com/politica/20181117/452992780484/pablo-casado-espana-no-colonizaba-tener-espana-mas-grande.html" TargetMode="External"/><Relationship Id="rId2560" Type="http://schemas.openxmlformats.org/officeDocument/2006/relationships/hyperlink" Target="https://hispaniafortius.wordpress.com/2018/11/17/pablo-casado-entrega-la-justicia-a-pedro-sanchez-luis-del-pino-ld-ppopular-pablocasado_-felizsabado/" TargetMode="External"/><Relationship Id="rId2798" Type="http://schemas.openxmlformats.org/officeDocument/2006/relationships/hyperlink" Target="https://www.elperiodico.com/es/politica/20181117/casado-intervenir-cuentas-cataluna-7153056?utm_source=facebook&amp;utm_medium=social" TargetMode="External"/><Relationship Id="rId118" Type="http://schemas.openxmlformats.org/officeDocument/2006/relationships/hyperlink" Target="http://page.is/patximorrondo-j" TargetMode="External"/><Relationship Id="rId325" Type="http://schemas.openxmlformats.org/officeDocument/2006/relationships/hyperlink" Target="https://www.eldiario.es/_31fba826" TargetMode="External"/><Relationship Id="rId532" Type="http://schemas.openxmlformats.org/officeDocument/2006/relationships/hyperlink" Target="https://pbs.twimg.com/media/DsoWa1gW0AI4eU8.jpg" TargetMode="External"/><Relationship Id="rId977" Type="http://schemas.openxmlformats.org/officeDocument/2006/relationships/hyperlink" Target="https://www.facebook.com/812222442145573/posts/2172226446145159/" TargetMode="External"/><Relationship Id="rId1162" Type="http://schemas.openxmlformats.org/officeDocument/2006/relationships/hyperlink" Target="https://www.cibercuba.com/noticias/2018-11-21-u157374-e157374-s27061-lider-pp-pablo-casado-critica-al-socialista-pedro-sanchez?utm_source=dlvr.it&amp;utm_medium=twitter&amp;utm_campaign=CiberCuba" TargetMode="External"/><Relationship Id="rId2006" Type="http://schemas.openxmlformats.org/officeDocument/2006/relationships/hyperlink" Target="https://www.periodistadigital.com/politica/partidos-politicos/2018/11/19/ana-isabel-perez-pp-asamblea-madrid-diputada-madrid-central-carmena-pablo-casado-angel-garrido.shtml" TargetMode="External"/><Relationship Id="rId2213" Type="http://schemas.openxmlformats.org/officeDocument/2006/relationships/hyperlink" Target="http://cadenaser.com/ser/2018/11/18/politica/1542566574_140747.html" TargetMode="External"/><Relationship Id="rId2420" Type="http://schemas.openxmlformats.org/officeDocument/2006/relationships/hyperlink" Target="http://www.guerraeterna.com/pablo-casado-contra-la-historia/" TargetMode="External"/><Relationship Id="rId2658" Type="http://schemas.openxmlformats.org/officeDocument/2006/relationships/hyperlink" Target="https://www.lasexta.com/noticias/nacional/elecciones-andalucia/gibraltar-espanol-el-mantra-de-pablo-casado-en-la-campana-para-las-elecciones-de-andalucia-2018-video_201811185bf16cd80cf2c5d6155e70fe.html" TargetMode="External"/><Relationship Id="rId2865" Type="http://schemas.openxmlformats.org/officeDocument/2006/relationships/hyperlink" Target="http://www.lacerca.com/" TargetMode="External"/><Relationship Id="rId837" Type="http://schemas.openxmlformats.org/officeDocument/2006/relationships/hyperlink" Target="https://pbs.twimg.com/media/DsmbqBEWsAAX0fE.jpg" TargetMode="External"/><Relationship Id="rId1022" Type="http://schemas.openxmlformats.org/officeDocument/2006/relationships/hyperlink" Target="http://bit.ly/2AlhwXV" TargetMode="External"/><Relationship Id="rId1467" Type="http://schemas.openxmlformats.org/officeDocument/2006/relationships/hyperlink" Target="http://www.periodistadigital.com/politica/justicia/2018/11/20/pablo-casado-suspende-el-proceso-de-renovacion-del-consejo-general-del-poder-judicial-tras-el-plante-de-marchena.shtml" TargetMode="External"/><Relationship Id="rId1674" Type="http://schemas.openxmlformats.org/officeDocument/2006/relationships/hyperlink" Target="https://twitter.com/ainaclotet/status/1064790581593935872" TargetMode="External"/><Relationship Id="rId1881" Type="http://schemas.openxmlformats.org/officeDocument/2006/relationships/hyperlink" Target="https://m.youtube.com/watch?v=pUiAhclmvfE" TargetMode="External"/><Relationship Id="rId2518" Type="http://schemas.openxmlformats.org/officeDocument/2006/relationships/hyperlink" Target="http://larepublica.cat/" TargetMode="External"/><Relationship Id="rId2725" Type="http://schemas.openxmlformats.org/officeDocument/2006/relationships/hyperlink" Target="https://pbs.twimg.com/media/DsSd0yFWsAANw7g.jpg" TargetMode="External"/><Relationship Id="rId2932" Type="http://schemas.openxmlformats.org/officeDocument/2006/relationships/hyperlink" Target="http://shr.gs/qHXeNCe" TargetMode="External"/><Relationship Id="rId904" Type="http://schemas.openxmlformats.org/officeDocument/2006/relationships/hyperlink" Target="http://www.sandrasm.com/" TargetMode="External"/><Relationship Id="rId1327" Type="http://schemas.openxmlformats.org/officeDocument/2006/relationships/hyperlink" Target="http://diario16.com/denunciado-fiscal-pidio-archivo-del-caso-master-pablo-casado/" TargetMode="External"/><Relationship Id="rId1534" Type="http://schemas.openxmlformats.org/officeDocument/2006/relationships/hyperlink" Target="http://www.gaceta.es/" TargetMode="External"/><Relationship Id="rId1741" Type="http://schemas.openxmlformats.org/officeDocument/2006/relationships/hyperlink" Target="http://diario16.com/denunciado-fiscal-pidio-archivo-del-caso-master-pablo-casado/" TargetMode="External"/><Relationship Id="rId1979" Type="http://schemas.openxmlformats.org/officeDocument/2006/relationships/hyperlink" Target="http://diario16.com/denunciado-fiscal-pidio-archivo-del-caso-master-pablo-casado/" TargetMode="External"/><Relationship Id="rId33" Type="http://schemas.openxmlformats.org/officeDocument/2006/relationships/hyperlink" Target="https://m.eldiario.es/_31fba826" TargetMode="External"/><Relationship Id="rId1601" Type="http://schemas.openxmlformats.org/officeDocument/2006/relationships/hyperlink" Target="http://www.gppopular.es/diputados/santiago-perez-lopez/" TargetMode="External"/><Relationship Id="rId1839" Type="http://schemas.openxmlformats.org/officeDocument/2006/relationships/hyperlink" Target="https://pbs.twimg.com/media/DsZQPRkXoAABVbz.jpg" TargetMode="External"/><Relationship Id="rId182" Type="http://schemas.openxmlformats.org/officeDocument/2006/relationships/hyperlink" Target="https://m.eldiario.es/_31fba826" TargetMode="External"/><Relationship Id="rId1906" Type="http://schemas.openxmlformats.org/officeDocument/2006/relationships/hyperlink" Target="http://diario16.com/denunciado-fiscal-pidio-archivo-del-caso-master-pablo-casado/" TargetMode="External"/><Relationship Id="rId487" Type="http://schemas.openxmlformats.org/officeDocument/2006/relationships/hyperlink" Target="https://pbs.twimg.com/media/DsosqAYXgAET5WD.jpg" TargetMode="External"/><Relationship Id="rId694" Type="http://schemas.openxmlformats.org/officeDocument/2006/relationships/hyperlink" Target="https://www.facebook.com/pages/Partido-Vecinal-Regionalista-PVRE-Chiclana/533261570044114?ref=hl" TargetMode="External"/><Relationship Id="rId2070" Type="http://schemas.openxmlformats.org/officeDocument/2006/relationships/hyperlink" Target="https://pbs.twimg.com/media/DsEppU8WkAY9HFE.jpg" TargetMode="External"/><Relationship Id="rId2168" Type="http://schemas.openxmlformats.org/officeDocument/2006/relationships/hyperlink" Target="https://pbs.twimg.com/media/DsW27g0XgAMWjOW.jpg" TargetMode="External"/><Relationship Id="rId2375" Type="http://schemas.openxmlformats.org/officeDocument/2006/relationships/hyperlink" Target="https://m.eldiario.es/_31e5622c" TargetMode="External"/><Relationship Id="rId347" Type="http://schemas.openxmlformats.org/officeDocument/2006/relationships/hyperlink" Target="https://www.eldiario.es/_31fba826" TargetMode="External"/><Relationship Id="rId999" Type="http://schemas.openxmlformats.org/officeDocument/2006/relationships/hyperlink" Target="https://www.libertaddigital.com/espana/2018-11-21/pedro-sanchez-pide-a-casado-y-rufian-que-pidan-discupas-por-el-escupitajo-de-erc-a-borell-1276628638/" TargetMode="External"/><Relationship Id="rId1184" Type="http://schemas.openxmlformats.org/officeDocument/2006/relationships/hyperlink" Target="http://va.newsrepublic.net/s/YswkZY" TargetMode="External"/><Relationship Id="rId2028" Type="http://schemas.openxmlformats.org/officeDocument/2006/relationships/hyperlink" Target="https://www.voxespana.es/afiliarse-a-vox" TargetMode="External"/><Relationship Id="rId2582" Type="http://schemas.openxmlformats.org/officeDocument/2006/relationships/hyperlink" Target="https://www.20minutos.es/noticia/3494665/0/pablo-casado-reivindica-gibraltar-espanol-culpa-sanchez-traicion/?utm_source=twitter.com&amp;utm_medium=socialshare&amp;utm_campaign=mobile_amp" TargetMode="External"/><Relationship Id="rId2887" Type="http://schemas.openxmlformats.org/officeDocument/2006/relationships/hyperlink" Target="https://pbs.twimg.com/media/DsRpTg6WwAEKacw.jpg" TargetMode="External"/><Relationship Id="rId554" Type="http://schemas.openxmlformats.org/officeDocument/2006/relationships/hyperlink" Target="https://twitter.com/grancocolio/status/1065554179303849984" TargetMode="External"/><Relationship Id="rId761" Type="http://schemas.openxmlformats.org/officeDocument/2006/relationships/hyperlink" Target="http://www.framecomunicacion.com/" TargetMode="External"/><Relationship Id="rId859" Type="http://schemas.openxmlformats.org/officeDocument/2006/relationships/hyperlink" Target="https://pbs.twimg.com/media/DsmKxjHWkAM-EMZ.jpg" TargetMode="External"/><Relationship Id="rId1391" Type="http://schemas.openxmlformats.org/officeDocument/2006/relationships/hyperlink" Target="http://diario6.com/" TargetMode="External"/><Relationship Id="rId1489" Type="http://schemas.openxmlformats.org/officeDocument/2006/relationships/hyperlink" Target="https://m.publico.es/politica/2068857/controlaremos-la-sala-segunda-desde-detras-un-portavoz-del-pp-destapa-en-un-whatsapp-la-falta-de-independencia-judicial" TargetMode="External"/><Relationship Id="rId1696" Type="http://schemas.openxmlformats.org/officeDocument/2006/relationships/hyperlink" Target="http://www.mediterraneodigital.com/" TargetMode="External"/><Relationship Id="rId2235" Type="http://schemas.openxmlformats.org/officeDocument/2006/relationships/hyperlink" Target="http://alcantarillasocial.com/author/protestona1" TargetMode="External"/><Relationship Id="rId2442" Type="http://schemas.openxmlformats.org/officeDocument/2006/relationships/hyperlink" Target="https://www.lavanguardia.com/politica/20181118/453013354456/elecciones-andalucia-pedro-sanchez-pablo-casado-albert-rivera.html" TargetMode="External"/><Relationship Id="rId207" Type="http://schemas.openxmlformats.org/officeDocument/2006/relationships/hyperlink" Target="https://www.eldiario.es/escolar/Pablo-Casado-Poder-Judicial-Cosido_6_838576166.html" TargetMode="External"/><Relationship Id="rId414" Type="http://schemas.openxmlformats.org/officeDocument/2006/relationships/hyperlink" Target="https://bit.ly/2DNNJeq" TargetMode="External"/><Relationship Id="rId621" Type="http://schemas.openxmlformats.org/officeDocument/2006/relationships/hyperlink" Target="http://juliocasarrubios.blogspot.com/" TargetMode="External"/><Relationship Id="rId1044" Type="http://schemas.openxmlformats.org/officeDocument/2006/relationships/hyperlink" Target="http://pic.twitter.com/YQbOeceL00" TargetMode="External"/><Relationship Id="rId1251" Type="http://schemas.openxmlformats.org/officeDocument/2006/relationships/hyperlink" Target="https://maldita.es/malditodato/nadie-habla-bable-en-asturias-el-truco-de-pablo-casado/" TargetMode="External"/><Relationship Id="rId1349" Type="http://schemas.openxmlformats.org/officeDocument/2006/relationships/hyperlink" Target="https://jotapov.com/2018/11/20/ignacio-aguado-se-marca-un-pablo-casado-y-tampoco-puede-definir-a-vox-ideologicamente/" TargetMode="External"/><Relationship Id="rId2302" Type="http://schemas.openxmlformats.org/officeDocument/2006/relationships/hyperlink" Target="http://www.eldiario.es/" TargetMode="External"/><Relationship Id="rId2747" Type="http://schemas.openxmlformats.org/officeDocument/2006/relationships/hyperlink" Target="http://pic.twitter.com/qLXYvkc2uA" TargetMode="External"/><Relationship Id="rId2954" Type="http://schemas.openxmlformats.org/officeDocument/2006/relationships/hyperlink" Target="https://www.vozpopuli.com/opinion/Alea-iacta-est-Pablo-Casado_0_1191781185.html" TargetMode="External"/><Relationship Id="rId719" Type="http://schemas.openxmlformats.org/officeDocument/2006/relationships/hyperlink" Target="https://www.youtube.com/pirawetv?sub_confirmation=1" TargetMode="External"/><Relationship Id="rId926" Type="http://schemas.openxmlformats.org/officeDocument/2006/relationships/hyperlink" Target="https://www.elmundo.es/espana/2018/11/22/5bf5c490e5fdeade018b45ea.html" TargetMode="External"/><Relationship Id="rId1111" Type="http://schemas.openxmlformats.org/officeDocument/2006/relationships/hyperlink" Target="http://instagram.com/joanmg.93" TargetMode="External"/><Relationship Id="rId1556" Type="http://schemas.openxmlformats.org/officeDocument/2006/relationships/hyperlink" Target="http://www.inmoavery.com/" TargetMode="External"/><Relationship Id="rId1763" Type="http://schemas.openxmlformats.org/officeDocument/2006/relationships/hyperlink" Target="https://okdiario.com/espana/2018/11/19/casado-dice-que-pp-no-admitira-cesiones-sobre-gibraltar-dejacion-funciones-sanchez-3369125" TargetMode="External"/><Relationship Id="rId1970" Type="http://schemas.openxmlformats.org/officeDocument/2006/relationships/hyperlink" Target="https://bit.ly/2DtIBuS" TargetMode="External"/><Relationship Id="rId2607" Type="http://schemas.openxmlformats.org/officeDocument/2006/relationships/hyperlink" Target="https://www.20minutos.es/noticia/3494665/0/pablo-casado-reivindica-gibraltar-espanol-culpa-sanchez-traicion/?utm_source=twitter.com&amp;utm_medium=socialshare&amp;utm_campaign=desktop" TargetMode="External"/><Relationship Id="rId2814" Type="http://schemas.openxmlformats.org/officeDocument/2006/relationships/hyperlink" Target="http://www.veintesegundos.com/" TargetMode="External"/><Relationship Id="rId55" Type="http://schemas.openxmlformats.org/officeDocument/2006/relationships/hyperlink" Target="https://www.eldiario.es/escolar/Pablo-Casado-Poder-Judicial-Cosido_6_838576166.html" TargetMode="External"/><Relationship Id="rId1209" Type="http://schemas.openxmlformats.org/officeDocument/2006/relationships/hyperlink" Target="http://www.ames-fps.com/" TargetMode="External"/><Relationship Id="rId1416" Type="http://schemas.openxmlformats.org/officeDocument/2006/relationships/hyperlink" Target="http://instagram.com/toussaintaj" TargetMode="External"/><Relationship Id="rId1623" Type="http://schemas.openxmlformats.org/officeDocument/2006/relationships/hyperlink" Target="http://dlvr.it/QrgYyF" TargetMode="External"/><Relationship Id="rId1830" Type="http://schemas.openxmlformats.org/officeDocument/2006/relationships/hyperlink" Target="http://www.alcantarillasocial.com/author/xuxipc/" TargetMode="External"/><Relationship Id="rId1928" Type="http://schemas.openxmlformats.org/officeDocument/2006/relationships/hyperlink" Target="http://swsiblog.blogspot.com/" TargetMode="External"/><Relationship Id="rId2092" Type="http://schemas.openxmlformats.org/officeDocument/2006/relationships/hyperlink" Target="http://elregresodejuandemairena.blogspot.com.es/" TargetMode="External"/><Relationship Id="rId271" Type="http://schemas.openxmlformats.org/officeDocument/2006/relationships/hyperlink" Target="http://pasionxespa&#241;a.es/" TargetMode="External"/><Relationship Id="rId2397" Type="http://schemas.openxmlformats.org/officeDocument/2006/relationships/hyperlink" Target="http://www.eldiario.es/" TargetMode="External"/><Relationship Id="rId131" Type="http://schemas.openxmlformats.org/officeDocument/2006/relationships/hyperlink" Target="https://www.eljueves.es/news/pablo-casado-intenta-comprar-remesa-esclavos-black-friday_2970" TargetMode="External"/><Relationship Id="rId369" Type="http://schemas.openxmlformats.org/officeDocument/2006/relationships/hyperlink" Target="https://m.eldiario.es/_31fabdf9" TargetMode="External"/><Relationship Id="rId576" Type="http://schemas.openxmlformats.org/officeDocument/2006/relationships/hyperlink" Target="http://www.lamesadelgourmet.com/" TargetMode="External"/><Relationship Id="rId783" Type="http://schemas.openxmlformats.org/officeDocument/2006/relationships/hyperlink" Target="https://m.eldiario.es/_31fabdf9" TargetMode="External"/><Relationship Id="rId990" Type="http://schemas.openxmlformats.org/officeDocument/2006/relationships/hyperlink" Target="https://www.libertaddigital.com/espana/2018-11-21/pedro-sanchez-pide-a-casado-y-rufian-que-pidan-discupas-por-el-escupitajo-de-erc-a-borell-1276628638/" TargetMode="External"/><Relationship Id="rId2257" Type="http://schemas.openxmlformats.org/officeDocument/2006/relationships/hyperlink" Target="http://paper.li/lobo_solito/1343408781" TargetMode="External"/><Relationship Id="rId2464" Type="http://schemas.openxmlformats.org/officeDocument/2006/relationships/hyperlink" Target="https://www.youtube.com/channel/UC2OPRvShCwMeO__KHVyPl9w?sub_confirmation=1" TargetMode="External"/><Relationship Id="rId2671" Type="http://schemas.openxmlformats.org/officeDocument/2006/relationships/hyperlink" Target="https://m.eldiario.es/politica/Casado-Algeciras-Gibraltar-Gobierno-inmigracion_0_837116490.html" TargetMode="External"/><Relationship Id="rId229" Type="http://schemas.openxmlformats.org/officeDocument/2006/relationships/hyperlink" Target="https://m.eldiario.es/_31fba826" TargetMode="External"/><Relationship Id="rId436" Type="http://schemas.openxmlformats.org/officeDocument/2006/relationships/hyperlink" Target="https://m.eldiario.es/_31fba826" TargetMode="External"/><Relationship Id="rId643" Type="http://schemas.openxmlformats.org/officeDocument/2006/relationships/hyperlink" Target="https://www.eldiario.es/politica/Pablo-Casado-exaltacion-franquismo-probidida_0_838516217.html" TargetMode="External"/><Relationship Id="rId1066" Type="http://schemas.openxmlformats.org/officeDocument/2006/relationships/hyperlink" Target="http://ow.ly/rKWs30mHLB4" TargetMode="External"/><Relationship Id="rId1273" Type="http://schemas.openxmlformats.org/officeDocument/2006/relationships/hyperlink" Target="https://pbs.twimg.com/media/DsgwdNvWsAAcJd0.jpg" TargetMode="External"/><Relationship Id="rId1480" Type="http://schemas.openxmlformats.org/officeDocument/2006/relationships/hyperlink" Target="http://youtu.be/99NujzrDLFs?a" TargetMode="External"/><Relationship Id="rId2117" Type="http://schemas.openxmlformats.org/officeDocument/2006/relationships/hyperlink" Target="https://www.eldiario.es/internacional/Steve-Bannon-Orban-Pablo-Casado_0_837116460.html" TargetMode="External"/><Relationship Id="rId2324" Type="http://schemas.openxmlformats.org/officeDocument/2006/relationships/hyperlink" Target="http://diario16.com/denunciado-fiscal-pidio-archivo-del-caso-master-pablo-casado/" TargetMode="External"/><Relationship Id="rId2769" Type="http://schemas.openxmlformats.org/officeDocument/2006/relationships/hyperlink" Target="http://trianadigital.es/pablo-casado-en-triana-la-vela-del-paso-de-la-esperanza-y-un-emotivo-recuerdo-en-san-jacinto/" TargetMode="External"/><Relationship Id="rId850" Type="http://schemas.openxmlformats.org/officeDocument/2006/relationships/hyperlink" Target="https://twitter.com/pablocasado_/status/1065546431677820929" TargetMode="External"/><Relationship Id="rId948" Type="http://schemas.openxmlformats.org/officeDocument/2006/relationships/hyperlink" Target="https://www.eldiario.es/politica/Suarez-Illana-PP-Casado-Franco_0_838167002.html" TargetMode="External"/><Relationship Id="rId1133" Type="http://schemas.openxmlformats.org/officeDocument/2006/relationships/hyperlink" Target="http://cataladigital.cat/2018/11/21/las-20-frases-mas-surrealistas-de-pablo-casado/" TargetMode="External"/><Relationship Id="rId1578" Type="http://schemas.openxmlformats.org/officeDocument/2006/relationships/hyperlink" Target="https://pbs.twimg.com/media/Dsci2FDXcAA5tEg.jpg" TargetMode="External"/><Relationship Id="rId1785" Type="http://schemas.openxmlformats.org/officeDocument/2006/relationships/hyperlink" Target="http://www.jorgenavasalejo.com/" TargetMode="External"/><Relationship Id="rId1992" Type="http://schemas.openxmlformats.org/officeDocument/2006/relationships/hyperlink" Target="https://m.eldiario.es/_31e5622c" TargetMode="External"/><Relationship Id="rId2531" Type="http://schemas.openxmlformats.org/officeDocument/2006/relationships/hyperlink" Target="http://pic.twitter.com/QvHqJdizRD" TargetMode="External"/><Relationship Id="rId2629" Type="http://schemas.openxmlformats.org/officeDocument/2006/relationships/hyperlink" Target="http://www.guerraeterna.com/pablo-casado-contra-la-historia/" TargetMode="External"/><Relationship Id="rId2836" Type="http://schemas.openxmlformats.org/officeDocument/2006/relationships/hyperlink" Target="http://jmalvarezblog.blogspot.com/" TargetMode="External"/><Relationship Id="rId77" Type="http://schemas.openxmlformats.org/officeDocument/2006/relationships/hyperlink" Target="https://www.eldiario.es/_31fabdf9" TargetMode="External"/><Relationship Id="rId503" Type="http://schemas.openxmlformats.org/officeDocument/2006/relationships/hyperlink" Target="https://m.eldiario.es/_31fabdf9" TargetMode="External"/><Relationship Id="rId710" Type="http://schemas.openxmlformats.org/officeDocument/2006/relationships/hyperlink" Target="https://www.libertaddigital.com/espana/2018-11-22/casado-atribuye-a-rivalidades-en-el-gobierno-el-fracaso-del-pacto-del-cgpj-1276628663/" TargetMode="External"/><Relationship Id="rId808" Type="http://schemas.openxmlformats.org/officeDocument/2006/relationships/hyperlink" Target="https://www.eldiario.es/_31fabdf9" TargetMode="External"/><Relationship Id="rId1340" Type="http://schemas.openxmlformats.org/officeDocument/2006/relationships/hyperlink" Target="http://diario16.com/denunciado-fiscal-pidio-archivo-del-caso-master-pablo-casado/" TargetMode="External"/><Relationship Id="rId1438" Type="http://schemas.openxmlformats.org/officeDocument/2006/relationships/hyperlink" Target="https://pbs.twimg.com/media/DsdZJFoWsAECq-D.jpg" TargetMode="External"/><Relationship Id="rId1645" Type="http://schemas.openxmlformats.org/officeDocument/2006/relationships/hyperlink" Target="https://www.elmundo.es/espana/2018/11/20/5bf3eb5022601d317c8b45a2.html" TargetMode="External"/><Relationship Id="rId1200" Type="http://schemas.openxmlformats.org/officeDocument/2006/relationships/hyperlink" Target="https://pbs.twimg.com/media/DshRd-FXoAAOw2E.jpg" TargetMode="External"/><Relationship Id="rId1852" Type="http://schemas.openxmlformats.org/officeDocument/2006/relationships/hyperlink" Target="https://pbs.twimg.com/media/DsZOb0JXcAAwalU.jpg" TargetMode="External"/><Relationship Id="rId2903"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1505" Type="http://schemas.openxmlformats.org/officeDocument/2006/relationships/hyperlink" Target="https://pbs.twimg.com/media/Dsc2MXVU4Aof3SL.jpg" TargetMode="External"/><Relationship Id="rId1712" Type="http://schemas.openxmlformats.org/officeDocument/2006/relationships/hyperlink" Target="https://amp.elmundo.es/opinion/2018/11/20/5bf2cafce5fdeacc128b4664.html?__twitter_impression=true" TargetMode="External"/><Relationship Id="rId293" Type="http://schemas.openxmlformats.org/officeDocument/2006/relationships/hyperlink" Target="https://pbs.twimg.com/media/Dsl_NCQUwAEWVoD.jpg" TargetMode="External"/><Relationship Id="rId2181" Type="http://schemas.openxmlformats.org/officeDocument/2006/relationships/hyperlink" Target="https://m.eldiario.es/_31e5622c" TargetMode="External"/><Relationship Id="rId153" Type="http://schemas.openxmlformats.org/officeDocument/2006/relationships/hyperlink" Target="http://www.fesmcugtaragon.es/" TargetMode="External"/><Relationship Id="rId360" Type="http://schemas.openxmlformats.org/officeDocument/2006/relationships/hyperlink" Target="http://ow.ly/isnj30mItpj" TargetMode="External"/><Relationship Id="rId598" Type="http://schemas.openxmlformats.org/officeDocument/2006/relationships/hyperlink" Target="http://va.newsrepublic.net/s/wMTQsY" TargetMode="External"/><Relationship Id="rId2041" Type="http://schemas.openxmlformats.org/officeDocument/2006/relationships/hyperlink" Target="https://www.eljueves.es/news/pablo-casado-propone-invadir-polonia-para-hacer-espana-mas-grande_2959" TargetMode="External"/><Relationship Id="rId2279" Type="http://schemas.openxmlformats.org/officeDocument/2006/relationships/hyperlink" Target="http://rosamariaartal.wordpress.com/" TargetMode="External"/><Relationship Id="rId2486" Type="http://schemas.openxmlformats.org/officeDocument/2006/relationships/hyperlink" Target="http://pic.twitter.com/vnzPBmjBcQ" TargetMode="External"/><Relationship Id="rId2693" Type="http://schemas.openxmlformats.org/officeDocument/2006/relationships/hyperlink" Target="http://pic.twitter.com/dBE3DblsJA" TargetMode="External"/><Relationship Id="rId220" Type="http://schemas.openxmlformats.org/officeDocument/2006/relationships/hyperlink" Target="https://www.eldiario.es/_31fba826" TargetMode="External"/><Relationship Id="rId458" Type="http://schemas.openxmlformats.org/officeDocument/2006/relationships/hyperlink" Target="http://www.lagacetadealmeria.com/" TargetMode="External"/><Relationship Id="rId665" Type="http://schemas.openxmlformats.org/officeDocument/2006/relationships/hyperlink" Target="http://www.anitathomsen.info/" TargetMode="External"/><Relationship Id="rId872" Type="http://schemas.openxmlformats.org/officeDocument/2006/relationships/hyperlink" Target="https://www.lavanguardia.com/politica/20181117/452992780484/pablo-casado-espana-no-colonizaba-tener-espana-mas-grande.html?utm_source=facebook&amp;utm_medium=social&amp;utm_content=politica&amp;utm_campaign=lv&amp;fbclid=IwAR1uOdH7trwX9xDPOTPUo12jzNdChFoPoV9TBGZ-_uCbnYL45Y4lnGnQPuY" TargetMode="External"/><Relationship Id="rId1088" Type="http://schemas.openxmlformats.org/officeDocument/2006/relationships/hyperlink" Target="https://www.eljueves.es/news/universidad-rey-juan-carlos-contrata-como-profesor-a-pablo-casado_2968" TargetMode="External"/><Relationship Id="rId1295" Type="http://schemas.openxmlformats.org/officeDocument/2006/relationships/hyperlink" Target="https://pbs.twimg.com/media/DsgeWaOXQAAeuoh.jpg" TargetMode="External"/><Relationship Id="rId2139" Type="http://schemas.openxmlformats.org/officeDocument/2006/relationships/hyperlink" Target="http://www.guerraeterna.com/pablo-casado-contra-la-historia/" TargetMode="External"/><Relationship Id="rId2346" Type="http://schemas.openxmlformats.org/officeDocument/2006/relationships/hyperlink" Target="http://cervera.eldialdigital.com:8108/index.html?sid=1" TargetMode="External"/><Relationship Id="rId2553" Type="http://schemas.openxmlformats.org/officeDocument/2006/relationships/hyperlink" Target="https://pbs.twimg.com/media/DsTOqaBWoAAHcGB.jpg" TargetMode="External"/><Relationship Id="rId2760" Type="http://schemas.openxmlformats.org/officeDocument/2006/relationships/hyperlink" Target="https://pbs.twimg.com/media/DsSWHODXQAcwALd.jpg" TargetMode="External"/><Relationship Id="rId318" Type="http://schemas.openxmlformats.org/officeDocument/2006/relationships/hyperlink" Target="https://yonolodije.wordpress.com/" TargetMode="External"/><Relationship Id="rId525" Type="http://schemas.openxmlformats.org/officeDocument/2006/relationships/hyperlink" Target="http://pic.twitter.com/LLX3kUyGVQ" TargetMode="External"/><Relationship Id="rId732" Type="http://schemas.openxmlformats.org/officeDocument/2006/relationships/hyperlink" Target="http://www.congresosemi.org/" TargetMode="External"/><Relationship Id="rId1155" Type="http://schemas.openxmlformats.org/officeDocument/2006/relationships/hyperlink" Target="https://pbs.twimg.com/media/DshcjBQWoAEzhNl.jpg" TargetMode="External"/><Relationship Id="rId1362" Type="http://schemas.openxmlformats.org/officeDocument/2006/relationships/hyperlink" Target="http://youtu.be/WbcOau_ZpBA?a" TargetMode="External"/><Relationship Id="rId2206" Type="http://schemas.openxmlformats.org/officeDocument/2006/relationships/hyperlink" Target="https://diario6.com/pablo-casado-al-igual-que-cospedal-tambien-se-reunio-con-villarejo/" TargetMode="External"/><Relationship Id="rId2413" Type="http://schemas.openxmlformats.org/officeDocument/2006/relationships/hyperlink" Target="http://es.favstar.fm/users/jandcalderon985" TargetMode="External"/><Relationship Id="rId2620" Type="http://schemas.openxmlformats.org/officeDocument/2006/relationships/hyperlink" Target="http://ver.20m.es/5hdpe2" TargetMode="External"/><Relationship Id="rId2858" Type="http://schemas.openxmlformats.org/officeDocument/2006/relationships/hyperlink" Target="http://shr.gs/qHXeNCe" TargetMode="External"/><Relationship Id="rId99" Type="http://schemas.openxmlformats.org/officeDocument/2006/relationships/hyperlink" Target="https://www.eldiario.es/_31fba826" TargetMode="External"/><Relationship Id="rId1015" Type="http://schemas.openxmlformats.org/officeDocument/2006/relationships/hyperlink" Target="https://www.instagram.com/miguelangelend/" TargetMode="External"/><Relationship Id="rId1222" Type="http://schemas.openxmlformats.org/officeDocument/2006/relationships/hyperlink" Target="http://reiniciacatalunya.cat/" TargetMode="External"/><Relationship Id="rId1667" Type="http://schemas.openxmlformats.org/officeDocument/2006/relationships/hyperlink" Target="https://youtu.be/VY3DElL-1I4" TargetMode="External"/><Relationship Id="rId1874" Type="http://schemas.openxmlformats.org/officeDocument/2006/relationships/hyperlink" Target="https://www.lavanguardia.com/politica/20181118/453010973750/pablo-casado-nuevo-155-catalunya-andalucia-ilegalizar-cup.html" TargetMode="External"/><Relationship Id="rId2718" Type="http://schemas.openxmlformats.org/officeDocument/2006/relationships/hyperlink" Target="http://www.alternatiba.eus/" TargetMode="External"/><Relationship Id="rId2925" Type="http://schemas.openxmlformats.org/officeDocument/2006/relationships/hyperlink" Target="https://m.huffingtonpost.es/amp/2018/11/17/pablo-casado-los-espanoles-no-colonizabamos-lo-que-haciamos-era-tener-una-espana-mas-grande_a_23592393/?ncid=other_twitter_cooo9wqtham&amp;utm_campaign=share_twitter&amp;__twitter_impression=true" TargetMode="External"/><Relationship Id="rId1527" Type="http://schemas.openxmlformats.org/officeDocument/2006/relationships/hyperlink" Target="https://pbs.twimg.com/media/Dscxuu6XgAAH0i0.jpg" TargetMode="External"/><Relationship Id="rId1734" Type="http://schemas.openxmlformats.org/officeDocument/2006/relationships/hyperlink" Target="http://www.facebook.com/sotocerrato" TargetMode="External"/><Relationship Id="rId1941" Type="http://schemas.openxmlformats.org/officeDocument/2006/relationships/hyperlink" Target="https://okdiario.com/espana/2018/11/19/casado-viajo-andalucia-ave-rivera-coche-sanchez-avion-privado-9-000-euros-3366935" TargetMode="External"/><Relationship Id="rId26" Type="http://schemas.openxmlformats.org/officeDocument/2006/relationships/hyperlink" Target="https://www.eljueves.es/news/pablo-casado-intenta-comprar-remesa-esclavos-black-friday_2970?utm_source=twitter&amp;utm_medium=social&amp;utm_campaign=trafico" TargetMode="External"/><Relationship Id="rId175" Type="http://schemas.openxmlformats.org/officeDocument/2006/relationships/hyperlink" Target="https://www.facebook.com/kodiario/" TargetMode="External"/><Relationship Id="rId1801" Type="http://schemas.openxmlformats.org/officeDocument/2006/relationships/hyperlink" Target="https://twitter.com/pablocasado_/status/1064597400218673152" TargetMode="External"/><Relationship Id="rId382" Type="http://schemas.openxmlformats.org/officeDocument/2006/relationships/hyperlink" Target="https://ift.tt/2qZUFgd" TargetMode="External"/><Relationship Id="rId687" Type="http://schemas.openxmlformats.org/officeDocument/2006/relationships/hyperlink" Target="http://palencia.cnt.es/2018/10/06/memoria-historica-la-union-de-hermanos-proletarios-uhp-la-revoluci" TargetMode="External"/><Relationship Id="rId2063" Type="http://schemas.openxmlformats.org/officeDocument/2006/relationships/hyperlink" Target="http://lagunadeduero.psoe.es/" TargetMode="External"/><Relationship Id="rId2270" Type="http://schemas.openxmlformats.org/officeDocument/2006/relationships/hyperlink" Target="http://nuevarevolucion.es/" TargetMode="External"/><Relationship Id="rId2368" Type="http://schemas.openxmlformats.org/officeDocument/2006/relationships/hyperlink" Target="http://annawasafriendofmine.tumblr.com/" TargetMode="External"/><Relationship Id="rId242" Type="http://schemas.openxmlformats.org/officeDocument/2006/relationships/hyperlink" Target="https://www.eldiario.es/_31fba826" TargetMode="External"/><Relationship Id="rId894" Type="http://schemas.openxmlformats.org/officeDocument/2006/relationships/hyperlink" Target="http://tinyurl.com/yaz88ydy" TargetMode="External"/><Relationship Id="rId1177" Type="http://schemas.openxmlformats.org/officeDocument/2006/relationships/hyperlink" Target="https://okdiario.com/espana/2018/11/21/casado-propone-que-jueces-elijan-cgpj-mientras-sanchez-aferra-reparto-politico-3374499" TargetMode="External"/><Relationship Id="rId2130" Type="http://schemas.openxmlformats.org/officeDocument/2006/relationships/hyperlink" Target="https://twiter.com/agrnineta" TargetMode="External"/><Relationship Id="rId2575" Type="http://schemas.openxmlformats.org/officeDocument/2006/relationships/hyperlink" Target="https://www.elmundo.es/andalucia/2018/11/18/5bf1600fe2704ed9718b45f0.html" TargetMode="External"/><Relationship Id="rId2782" Type="http://schemas.openxmlformats.org/officeDocument/2006/relationships/hyperlink" Target="http://www.nngglarioja.es/" TargetMode="External"/><Relationship Id="rId102" Type="http://schemas.openxmlformats.org/officeDocument/2006/relationships/hyperlink" Target="http://www.attac-na.org/" TargetMode="External"/><Relationship Id="rId547" Type="http://schemas.openxmlformats.org/officeDocument/2006/relationships/hyperlink" Target="http://www.editorialtintamala.com/jagoba-alvarez/" TargetMode="External"/><Relationship Id="rId754" Type="http://schemas.openxmlformats.org/officeDocument/2006/relationships/hyperlink" Target="https://www.elplural.com/politica/pablo-casado-baraja-al-estilista-de-la-mujer-de-rajoy-para-madrid_206812102" TargetMode="External"/><Relationship Id="rId961" Type="http://schemas.openxmlformats.org/officeDocument/2006/relationships/hyperlink" Target="https://www.libertaddigital.com/espana/2018-11-21/pedro-sanchez-pide-a-casado-y-rufian-que-pidan-discupas-por-el-escupitajo-de-erc-a-borell-1276628638/" TargetMode="External"/><Relationship Id="rId1384" Type="http://schemas.openxmlformats.org/officeDocument/2006/relationships/hyperlink" Target="https://diario6.com/pablo-casado-al-igual-que-cospedal-tambien-se-reunio-con-villarejo/" TargetMode="External"/><Relationship Id="rId1591" Type="http://schemas.openxmlformats.org/officeDocument/2006/relationships/hyperlink" Target="http://diario16.com/cosido-me-siento-plenamente-respaldado-pablo-casado/" TargetMode="External"/><Relationship Id="rId1689" Type="http://schemas.openxmlformats.org/officeDocument/2006/relationships/hyperlink" Target="https://m.eldiario.es/politica/Steve-Bannon-extrema-derecha-Europa-Pablo-Casado_0_821368075.html" TargetMode="External"/><Relationship Id="rId2228" Type="http://schemas.openxmlformats.org/officeDocument/2006/relationships/hyperlink" Target="http://www.elmundo.es/social/usuarios/hector_sanjuan/" TargetMode="External"/><Relationship Id="rId2435" Type="http://schemas.openxmlformats.org/officeDocument/2006/relationships/hyperlink" Target="https://manuelgonzalezperiodista.wordpress.com/" TargetMode="External"/><Relationship Id="rId2642" Type="http://schemas.openxmlformats.org/officeDocument/2006/relationships/hyperlink" Target="https://www.youtube.com/user/jordisd9" TargetMode="External"/><Relationship Id="rId90" Type="http://schemas.openxmlformats.org/officeDocument/2006/relationships/hyperlink" Target="http://youtu.be/kT03nLG97AU?a" TargetMode="External"/><Relationship Id="rId407" Type="http://schemas.openxmlformats.org/officeDocument/2006/relationships/hyperlink" Target="http://www.eldebatedehoy.es/" TargetMode="External"/><Relationship Id="rId614" Type="http://schemas.openxmlformats.org/officeDocument/2006/relationships/hyperlink" Target="http://youtu.be/-rYAYb8hm4c?a" TargetMode="External"/><Relationship Id="rId821" Type="http://schemas.openxmlformats.org/officeDocument/2006/relationships/hyperlink" Target="https://pbs.twimg.com/media/DsmhAjwXcAAAtjA.jpg" TargetMode="External"/><Relationship Id="rId1037" Type="http://schemas.openxmlformats.org/officeDocument/2006/relationships/hyperlink" Target="https://goo.gl/74QnhT" TargetMode="External"/><Relationship Id="rId1244" Type="http://schemas.openxmlformats.org/officeDocument/2006/relationships/hyperlink" Target="http://www.telemadrid.es/buenosdiasmadrid" TargetMode="External"/><Relationship Id="rId1451" Type="http://schemas.openxmlformats.org/officeDocument/2006/relationships/hyperlink" Target="https://www.facebook.com/pptorroxnoticias/posts/1809474675841127" TargetMode="External"/><Relationship Id="rId1896" Type="http://schemas.openxmlformats.org/officeDocument/2006/relationships/hyperlink" Target="http://elperiodi.co/wf5eg1" TargetMode="External"/><Relationship Id="rId2502" Type="http://schemas.openxmlformats.org/officeDocument/2006/relationships/hyperlink" Target="http://accessdrone.es/" TargetMode="External"/><Relationship Id="rId2947" Type="http://schemas.openxmlformats.org/officeDocument/2006/relationships/hyperlink" Target="https://pbs.twimg.com/media/DsRSJuzXoAA59O1.jpg" TargetMode="External"/><Relationship Id="rId919" Type="http://schemas.openxmlformats.org/officeDocument/2006/relationships/hyperlink" Target="http://cadenaser.com/programa/2018/11/21/hoy_por_hoy/1542803484_524062.html" TargetMode="External"/><Relationship Id="rId1104" Type="http://schemas.openxmlformats.org/officeDocument/2006/relationships/hyperlink" Target="http://www.eleconomista.es/" TargetMode="External"/><Relationship Id="rId1311" Type="http://schemas.openxmlformats.org/officeDocument/2006/relationships/hyperlink" Target="https://pbs.twimg.com/media/DsgKQnbXoAAlOeb.jpg" TargetMode="External"/><Relationship Id="rId1549" Type="http://schemas.openxmlformats.org/officeDocument/2006/relationships/hyperlink" Target="https://ift.tt/2TuP9ip" TargetMode="External"/><Relationship Id="rId1756" Type="http://schemas.openxmlformats.org/officeDocument/2006/relationships/hyperlink" Target="http://www.nuevarevolucion.es/" TargetMode="External"/><Relationship Id="rId1963" Type="http://schemas.openxmlformats.org/officeDocument/2006/relationships/hyperlink" Target="https://pbs.twimg.com/media/DsYbD5kXcAAVcYY.jpg" TargetMode="External"/><Relationship Id="rId2807" Type="http://schemas.openxmlformats.org/officeDocument/2006/relationships/hyperlink" Target="http://elmillorferran.blogspot.com.es/" TargetMode="External"/><Relationship Id="rId48" Type="http://schemas.openxmlformats.org/officeDocument/2006/relationships/hyperlink" Target="http://bit.ly/2PRgy00" TargetMode="External"/><Relationship Id="rId1409" Type="http://schemas.openxmlformats.org/officeDocument/2006/relationships/hyperlink" Target="http://www.radiocartaya.es/" TargetMode="External"/><Relationship Id="rId1616" Type="http://schemas.openxmlformats.org/officeDocument/2006/relationships/hyperlink" Target="http://diario16.com/cosido-me-siento-plenamente-respaldado-pablo-casado/" TargetMode="External"/><Relationship Id="rId1823" Type="http://schemas.openxmlformats.org/officeDocument/2006/relationships/hyperlink" Target="https://goo.gl/vTILVF" TargetMode="External"/><Relationship Id="rId197" Type="http://schemas.openxmlformats.org/officeDocument/2006/relationships/hyperlink" Target="https://www.eldiario.es/escolar/Pablo-Casado-Poder-Judicial-Cosido_6_838576166.html" TargetMode="External"/><Relationship Id="rId2085" Type="http://schemas.openxmlformats.org/officeDocument/2006/relationships/hyperlink" Target="http://eldiario.es/" TargetMode="External"/><Relationship Id="rId2292" Type="http://schemas.openxmlformats.org/officeDocument/2006/relationships/hyperlink" Target="https://m.eldiario.es/_31e5622c" TargetMode="External"/><Relationship Id="rId264" Type="http://schemas.openxmlformats.org/officeDocument/2006/relationships/hyperlink" Target="https://m.eldiario.es/_31fba826" TargetMode="External"/><Relationship Id="rId471" Type="http://schemas.openxmlformats.org/officeDocument/2006/relationships/hyperlink" Target="http://ccoojusticiasturias.blogspot.com/" TargetMode="External"/><Relationship Id="rId2152" Type="http://schemas.openxmlformats.org/officeDocument/2006/relationships/hyperlink" Target="https://www.eldiario.es/escolar/mentiras-Pablo-Casado-Gurtel-Irak_6_828777140.html" TargetMode="External"/><Relationship Id="rId2597" Type="http://schemas.openxmlformats.org/officeDocument/2006/relationships/hyperlink" Target="https://www.lavanguardia.com/politica/20181118/453013354456/elecciones-andalucia-pedro-sanchez-pablo-casado-albert-rivera.html?utm_source=twitter_lv&amp;utm_medium=social" TargetMode="External"/><Relationship Id="rId124" Type="http://schemas.openxmlformats.org/officeDocument/2006/relationships/hyperlink" Target="https://m.eldiario.es/_31fabdf9" TargetMode="External"/><Relationship Id="rId569" Type="http://schemas.openxmlformats.org/officeDocument/2006/relationships/hyperlink" Target="https://twitter.com/PSOE/status/1065580657211047942" TargetMode="External"/><Relationship Id="rId776" Type="http://schemas.openxmlformats.org/officeDocument/2006/relationships/hyperlink" Target="http://www.albertogomezvaquero.es/" TargetMode="External"/><Relationship Id="rId983" Type="http://schemas.openxmlformats.org/officeDocument/2006/relationships/hyperlink" Target="http://nepomundos.com/" TargetMode="External"/><Relationship Id="rId1199" Type="http://schemas.openxmlformats.org/officeDocument/2006/relationships/hyperlink" Target="http://manolocoronel.blogspot.com.es/" TargetMode="External"/><Relationship Id="rId2457" Type="http://schemas.openxmlformats.org/officeDocument/2006/relationships/hyperlink" Target="https://www.vozpopuli.com/opinion/Alea-iacta-est-Pablo-Casado_0_1191781185.html" TargetMode="External"/><Relationship Id="rId2664" Type="http://schemas.openxmlformats.org/officeDocument/2006/relationships/hyperlink" Target="https://goo.gl/JkTu1m" TargetMode="External"/><Relationship Id="rId331" Type="http://schemas.openxmlformats.org/officeDocument/2006/relationships/hyperlink" Target="http://www.advertia.net/" TargetMode="External"/><Relationship Id="rId429" Type="http://schemas.openxmlformats.org/officeDocument/2006/relationships/hyperlink" Target="http://www.eldiario.es/" TargetMode="External"/><Relationship Id="rId636" Type="http://schemas.openxmlformats.org/officeDocument/2006/relationships/hyperlink" Target="https://www.eldiario.es/politica/Pablo-Casado-exaltacion-franquismo-probidida_0_838516217.html" TargetMode="External"/><Relationship Id="rId1059" Type="http://schemas.openxmlformats.org/officeDocument/2006/relationships/hyperlink" Target="https://www.nuevatribuna.es/opinion/jose-luis-lopez-bulla/violetas-imperiales-pablo-casado/20181120103644157616.html" TargetMode="External"/><Relationship Id="rId1266" Type="http://schemas.openxmlformats.org/officeDocument/2006/relationships/hyperlink" Target="http://blogs.libertaddigital.com/enigmas-del-11-m/" TargetMode="External"/><Relationship Id="rId1473" Type="http://schemas.openxmlformats.org/officeDocument/2006/relationships/hyperlink" Target="https://m.publico.es/politica/2068857/controlaremos-la-sala-segunda-desde-detras-un-portavoz-del-pp-destapa-en-un-whatsapp-la-falta-de-independencia-judicial" TargetMode="External"/><Relationship Id="rId2012" Type="http://schemas.openxmlformats.org/officeDocument/2006/relationships/hyperlink" Target="http://meneame.net/" TargetMode="External"/><Relationship Id="rId2317" Type="http://schemas.openxmlformats.org/officeDocument/2006/relationships/hyperlink" Target="https://pbs.twimg.com/media/DsWFwLIU0AEb-d-.jpg" TargetMode="External"/><Relationship Id="rId2871" Type="http://schemas.openxmlformats.org/officeDocument/2006/relationships/hyperlink" Target="https://www.huffingtonpost.es/2018/11/17/pablo-casado-los-espanoles-no-colonizabamos-lo-que-haciamos-era-tener-una-espana-mas-grande_a_23592393/" TargetMode="External"/><Relationship Id="rId2969" Type="http://schemas.openxmlformats.org/officeDocument/2006/relationships/hyperlink" Target="https://www.lavanguardia.com/politica/20181117/452992780484/pablo-casado-espana-no-colonizaba-tener-espana-mas-grande.html" TargetMode="External"/><Relationship Id="rId843" Type="http://schemas.openxmlformats.org/officeDocument/2006/relationships/hyperlink" Target="http://cherinola-cherinolasweb.blogspot.com/" TargetMode="External"/><Relationship Id="rId1126" Type="http://schemas.openxmlformats.org/officeDocument/2006/relationships/hyperlink" Target="https://pbs.twimg.com/media/DsiJb4-WwAAXdVQ.jpg" TargetMode="External"/><Relationship Id="rId1680" Type="http://schemas.openxmlformats.org/officeDocument/2006/relationships/hyperlink" Target="https://pbs.twimg.com/media/Dsb9SGyXcAAbt4F.jpg" TargetMode="External"/><Relationship Id="rId1778" Type="http://schemas.openxmlformats.org/officeDocument/2006/relationships/hyperlink" Target="https://m.eldiario.es/_316622b4" TargetMode="External"/><Relationship Id="rId1985" Type="http://schemas.openxmlformats.org/officeDocument/2006/relationships/hyperlink" Target="http://esradio.libertaddigital.com/es-la-tarde-de-dieter/" TargetMode="External"/><Relationship Id="rId2524" Type="http://schemas.openxmlformats.org/officeDocument/2006/relationships/hyperlink" Target="https://www.diariodejerez.es/_4d946258" TargetMode="External"/><Relationship Id="rId2731" Type="http://schemas.openxmlformats.org/officeDocument/2006/relationships/hyperlink" Target="https://m.eldiario.es/escolar/mentiras-Pablo-Casado-Gurtel-Irak_6_828777140.html" TargetMode="External"/><Relationship Id="rId2829" Type="http://schemas.openxmlformats.org/officeDocument/2006/relationships/hyperlink" Target="https://pbs.twimg.com/media/DsR_TcSXgAA8ceK.jpg" TargetMode="External"/><Relationship Id="rId703" Type="http://schemas.openxmlformats.org/officeDocument/2006/relationships/hyperlink" Target="https://twitter.com/NTMEP/status/1065531432980889600" TargetMode="External"/><Relationship Id="rId910" Type="http://schemas.openxmlformats.org/officeDocument/2006/relationships/hyperlink" Target="https://sinsabernada.wordpress.com/" TargetMode="External"/><Relationship Id="rId1333" Type="http://schemas.openxmlformats.org/officeDocument/2006/relationships/hyperlink" Target="http://www.ascodevida.com/usuarios/parado" TargetMode="External"/><Relationship Id="rId1540" Type="http://schemas.openxmlformats.org/officeDocument/2006/relationships/hyperlink" Target="http://www.deia.eus/" TargetMode="External"/><Relationship Id="rId1638" Type="http://schemas.openxmlformats.org/officeDocument/2006/relationships/hyperlink" Target="http://www.stopsucesiones.org/" TargetMode="External"/><Relationship Id="rId1400" Type="http://schemas.openxmlformats.org/officeDocument/2006/relationships/hyperlink" Target="https://laicismo.org/pablo-casado-en-un-acto-del-pp-en-cordoba-la-catedral-tiene-que-seguir-administrada-por-la-iglesia/" TargetMode="External"/><Relationship Id="rId1845" Type="http://schemas.openxmlformats.org/officeDocument/2006/relationships/hyperlink" Target="https://pbs.twimg.com/media/DsZMCaBXoAY7H_v.jpg" TargetMode="External"/><Relationship Id="rId1705" Type="http://schemas.openxmlformats.org/officeDocument/2006/relationships/hyperlink" Target="https://www.huffingtonpost.es/2018/11/17/pablo-casado-los-espanoles-no-colonizabamos-lo-que-haciamos-era-tener-una-espana-mas-grande_a_23592393/" TargetMode="External"/><Relationship Id="rId1912" Type="http://schemas.openxmlformats.org/officeDocument/2006/relationships/hyperlink" Target="http://www.carolgalais.com/" TargetMode="External"/><Relationship Id="rId286" Type="http://schemas.openxmlformats.org/officeDocument/2006/relationships/hyperlink" Target="https://www.eldiario.es/escolar/Pablo-Casado-Poder-Judicial-Cosido_6_838576166.html" TargetMode="External"/><Relationship Id="rId493" Type="http://schemas.openxmlformats.org/officeDocument/2006/relationships/hyperlink" Target="https://ctxt.es/es/20181121/Politica/22989/manu-garrido-elecciones-andaluc%C3%ADa-PP-Pablo-casado-campa%C3%B1a-sin-candidato-VOX.htm?utm_source=twitter&amp;utm_medium=social&amp;utm_campaign=publico" TargetMode="External"/><Relationship Id="rId507" Type="http://schemas.openxmlformats.org/officeDocument/2006/relationships/hyperlink" Target="https://google.com/newsstand/s/CBIw59_f-T0" TargetMode="External"/><Relationship Id="rId714" Type="http://schemas.openxmlformats.org/officeDocument/2006/relationships/hyperlink" Target="http://tinyurl.com/yaz88ydy" TargetMode="External"/><Relationship Id="rId921" Type="http://schemas.openxmlformats.org/officeDocument/2006/relationships/hyperlink" Target="http://pic.twitter.com/dDO7u3ZxqZ" TargetMode="External"/><Relationship Id="rId1137" Type="http://schemas.openxmlformats.org/officeDocument/2006/relationships/hyperlink" Target="https://www.elplural.com/opinion/los-calvitos/pablo-casado-el-gracioso_206717102" TargetMode="External"/><Relationship Id="rId1344" Type="http://schemas.openxmlformats.org/officeDocument/2006/relationships/hyperlink" Target="https://www.huffingtonpost.es/angel-tristan/el-bofeton-de-marchena-y-la-tonteria-de-cosido_a_23595084/?utm_hp_ref=es-homepage" TargetMode="External"/><Relationship Id="rId1551" Type="http://schemas.openxmlformats.org/officeDocument/2006/relationships/hyperlink" Target="https://www.elmundo.es/espana/2018/11/20/5bf4064222601d460c8b45ee.html" TargetMode="External"/><Relationship Id="rId1789" Type="http://schemas.openxmlformats.org/officeDocument/2006/relationships/hyperlink" Target="http://atres.red/ht0fo1" TargetMode="External"/><Relationship Id="rId1996" Type="http://schemas.openxmlformats.org/officeDocument/2006/relationships/hyperlink" Target="http://www.cambio16.com/" TargetMode="External"/><Relationship Id="rId2174" Type="http://schemas.openxmlformats.org/officeDocument/2006/relationships/hyperlink" Target="http://diario16.com/denunciado-fiscal-pidio-archivo-del-caso-master-pablo-casado/?fbclid=IwAR3vWBwAQHZ272cKb1uVzARQ_z8bprA9I1zjcm4zjBgM9mH7j28WdAycs_0" TargetMode="External"/><Relationship Id="rId2381" Type="http://schemas.openxmlformats.org/officeDocument/2006/relationships/hyperlink" Target="http://www.eldebatedehoy.es/" TargetMode="External"/><Relationship Id="rId2602" Type="http://schemas.openxmlformats.org/officeDocument/2006/relationships/hyperlink" Target="https://www.elmundo.es/andalucia/2018/11/18/5bf1600fe2704ed9718b45f0.html" TargetMode="External"/><Relationship Id="rId50" Type="http://schemas.openxmlformats.org/officeDocument/2006/relationships/hyperlink" Target="https://www.elconfidencial.com/espana/2018-11-23/brexit-pablo-casado-apoyo-gobierno-veto_1664574/?utm_source=twitter&amp;utm_medium=social&amp;utm_campaign=NacionalDiarioAutomatico" TargetMode="External"/><Relationship Id="rId146" Type="http://schemas.openxmlformats.org/officeDocument/2006/relationships/hyperlink" Target="http://www.diariodeuntranseunte.es/" TargetMode="External"/><Relationship Id="rId353" Type="http://schemas.openxmlformats.org/officeDocument/2006/relationships/hyperlink" Target="https://www.eldiario.es/escolar/Pablo-Casado-Poder-Judicial-Cosido_6_838576166.html" TargetMode="External"/><Relationship Id="rId560" Type="http://schemas.openxmlformats.org/officeDocument/2006/relationships/hyperlink" Target="https://www.youtube.com/attribution_link?a=bOQr401Kgbk&amp;u=%2Fwatch%3Fv%3DjybqW6AZOQ0%26feature%3Dshare" TargetMode="External"/><Relationship Id="rId798" Type="http://schemas.openxmlformats.org/officeDocument/2006/relationships/hyperlink" Target="http://instagram.com/berlustinho" TargetMode="External"/><Relationship Id="rId1190" Type="http://schemas.openxmlformats.org/officeDocument/2006/relationships/hyperlink" Target="http://www.sajimes.blogspot.com/" TargetMode="External"/><Relationship Id="rId1204" Type="http://schemas.openxmlformats.org/officeDocument/2006/relationships/hyperlink" Target="http://www.carmenprados.com/" TargetMode="External"/><Relationship Id="rId1411" Type="http://schemas.openxmlformats.org/officeDocument/2006/relationships/hyperlink" Target="https://pbs.twimg.com/media/Dsd2LRlWsAU5q1i.jpg" TargetMode="External"/><Relationship Id="rId1649" Type="http://schemas.openxmlformats.org/officeDocument/2006/relationships/hyperlink" Target="http://www.elmundo.es/espana.html" TargetMode="External"/><Relationship Id="rId1856" Type="http://schemas.openxmlformats.org/officeDocument/2006/relationships/hyperlink" Target="http://homeopat&#237;a.no/" TargetMode="External"/><Relationship Id="rId2034" Type="http://schemas.openxmlformats.org/officeDocument/2006/relationships/hyperlink" Target="http://www.flickr.com/photos/25130234@N02/?saved=1" TargetMode="External"/><Relationship Id="rId2241" Type="http://schemas.openxmlformats.org/officeDocument/2006/relationships/hyperlink" Target="https://www.eldiario.es/_31e5622c" TargetMode="External"/><Relationship Id="rId2479" Type="http://schemas.openxmlformats.org/officeDocument/2006/relationships/hyperlink" Target="http://www.eldebatedehoy.es/" TargetMode="External"/><Relationship Id="rId2686" Type="http://schemas.openxmlformats.org/officeDocument/2006/relationships/hyperlink" Target="http://about.me/victorabasolo" TargetMode="External"/><Relationship Id="rId2893" Type="http://schemas.openxmlformats.org/officeDocument/2006/relationships/hyperlink" Target="https://www.facebook.com/note.php?note_id=2060926653970327" TargetMode="External"/><Relationship Id="rId2907" Type="http://schemas.openxmlformats.org/officeDocument/2006/relationships/hyperlink" Target="http://librosenlanube.blogspot.com/" TargetMode="External"/><Relationship Id="rId213" Type="http://schemas.openxmlformats.org/officeDocument/2006/relationships/hyperlink" Target="http://www.psoe.es/" TargetMode="External"/><Relationship Id="rId420" Type="http://schemas.openxmlformats.org/officeDocument/2006/relationships/hyperlink" Target="https://www.facebook.com/Jacs.61" TargetMode="External"/><Relationship Id="rId658" Type="http://schemas.openxmlformats.org/officeDocument/2006/relationships/hyperlink" Target="https://m.eldiario.es/politica/Pablo-Casado-exaltacion-franquismo-probidida_0_838516217.html" TargetMode="External"/><Relationship Id="rId865" Type="http://schemas.openxmlformats.org/officeDocument/2006/relationships/hyperlink" Target="http://atres.red/1wm6e2" TargetMode="External"/><Relationship Id="rId1050" Type="http://schemas.openxmlformats.org/officeDocument/2006/relationships/hyperlink" Target="https://latribunadelpaisvasco.com/art/10036/pablo-casado-credos-que-acaban-en-una-radicalizacion-violenta-no-tienen-cabida-en-espana" TargetMode="External"/><Relationship Id="rId1288" Type="http://schemas.openxmlformats.org/officeDocument/2006/relationships/hyperlink" Target="https://www.instagram.com/ageofmai/" TargetMode="External"/><Relationship Id="rId1495" Type="http://schemas.openxmlformats.org/officeDocument/2006/relationships/hyperlink" Target="http://www.elmundo.es/espana/2018/11/20/5bf4064222601d460c8b45ee.html" TargetMode="External"/><Relationship Id="rId1509" Type="http://schemas.openxmlformats.org/officeDocument/2006/relationships/hyperlink" Target="https://pbs.twimg.com/media/Dsc2G9jVsAAwa67.jpg" TargetMode="External"/><Relationship Id="rId1716" Type="http://schemas.openxmlformats.org/officeDocument/2006/relationships/hyperlink" Target="http://cadenaser.com/ser/2018/11/20/politica/1542699324_507305.html" TargetMode="External"/><Relationship Id="rId1923" Type="http://schemas.openxmlformats.org/officeDocument/2006/relationships/hyperlink" Target="http://jesusnietojurado.blogspot.com.es/" TargetMode="External"/><Relationship Id="rId2101" Type="http://schemas.openxmlformats.org/officeDocument/2006/relationships/hyperlink" Target="https://www.facebook.com/Lapartida15m/photos/a.762255460511339/2190359814367556/?type=3&amp;theater" TargetMode="External"/><Relationship Id="rId2339" Type="http://schemas.openxmlformats.org/officeDocument/2006/relationships/hyperlink" Target="http://ow.ly/vAKv30mF9Oz" TargetMode="External"/><Relationship Id="rId2546" Type="http://schemas.openxmlformats.org/officeDocument/2006/relationships/hyperlink" Target="https://m.eldiario.es/_31e00bd1" TargetMode="External"/><Relationship Id="rId2753" Type="http://schemas.openxmlformats.org/officeDocument/2006/relationships/hyperlink" Target="https://pbs.twimg.com/media/DsSYZYaWsAEFWrW.jpg" TargetMode="External"/><Relationship Id="rId2960" Type="http://schemas.openxmlformats.org/officeDocument/2006/relationships/hyperlink" Target="https://www.huffingtonpost.es/2018/11/17/pablo-casado-los-espanoles-no-colonizabamos-lo-que-haciamos-era-tener-una-espana-mas-grande_a_23592393/" TargetMode="External"/><Relationship Id="rId297" Type="http://schemas.openxmlformats.org/officeDocument/2006/relationships/hyperlink" Target="https://www.instagram.com/gloriaelizo/" TargetMode="External"/><Relationship Id="rId518" Type="http://schemas.openxmlformats.org/officeDocument/2006/relationships/hyperlink" Target="https://ift.tt/2PLL4Z3" TargetMode="External"/><Relationship Id="rId725" Type="http://schemas.openxmlformats.org/officeDocument/2006/relationships/hyperlink" Target="https://www.elplural.com/politica/pablo-casado-baraja-al-estilista-de-la-mujer-de-rajoy-para-madrid_206812102" TargetMode="External"/><Relationship Id="rId932" Type="http://schemas.openxmlformats.org/officeDocument/2006/relationships/hyperlink" Target="https://pbs.twimg.com/media/DsjFICzWoAEni7d.jpg" TargetMode="External"/><Relationship Id="rId1148" Type="http://schemas.openxmlformats.org/officeDocument/2006/relationships/hyperlink" Target="https://www.eldiario.es/escolar/mentiras-Pablo-Casado-Gurtel-Irak_6_828777140.html" TargetMode="External"/><Relationship Id="rId1355" Type="http://schemas.openxmlformats.org/officeDocument/2006/relationships/hyperlink" Target="http://estoyenlacancion.wordpress.com/" TargetMode="External"/><Relationship Id="rId1562" Type="http://schemas.openxmlformats.org/officeDocument/2006/relationships/hyperlink" Target="https://ift.tt/2S2GphU" TargetMode="External"/><Relationship Id="rId2185"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392" Type="http://schemas.openxmlformats.org/officeDocument/2006/relationships/hyperlink" Target="http://huelvared.com/2018/11/18/el-presidente-del-pp-pablo-casado-visita-este-lunes-la-provincia-de-huelva/" TargetMode="External"/><Relationship Id="rId2406" Type="http://schemas.openxmlformats.org/officeDocument/2006/relationships/hyperlink" Target="http://blogs.libertaddigital.com/enigmas-del-11-m/pablo-casado-entrega-la-justicia-a-pedro-sanchez-15104/" TargetMode="External"/><Relationship Id="rId2613" Type="http://schemas.openxmlformats.org/officeDocument/2006/relationships/hyperlink" Target="http://www.populareslosbarrios.es/index.php" TargetMode="External"/><Relationship Id="rId157" Type="http://schemas.openxmlformats.org/officeDocument/2006/relationships/hyperlink" Target="https://buff.ly/2KsJfKG" TargetMode="External"/><Relationship Id="rId364" Type="http://schemas.openxmlformats.org/officeDocument/2006/relationships/hyperlink" Target="http://pollo-sincabeza.blogspot.com/" TargetMode="External"/><Relationship Id="rId1008" Type="http://schemas.openxmlformats.org/officeDocument/2006/relationships/hyperlink" Target="https://pbs.twimg.com/media/DsjiY-oXQAENznW.jpg" TargetMode="External"/><Relationship Id="rId1215" Type="http://schemas.openxmlformats.org/officeDocument/2006/relationships/hyperlink" Target="https://www.facebook.com/PPTijola/posts/2211799388838264" TargetMode="External"/><Relationship Id="rId1422" Type="http://schemas.openxmlformats.org/officeDocument/2006/relationships/hyperlink" Target="https://twitter.com/EFEnoticias/status/1064934329271373827" TargetMode="External"/><Relationship Id="rId1867" Type="http://schemas.openxmlformats.org/officeDocument/2006/relationships/hyperlink" Target="https://www.eldiario.es/internacional/Steve-Bannon-Orban-Pablo-Casado_0_837116460.html" TargetMode="External"/><Relationship Id="rId2045" Type="http://schemas.openxmlformats.org/officeDocument/2006/relationships/hyperlink" Target="http://diario16.com/denunciado-fiscal-pidio-archivo-del-caso-master-pablo-casado/" TargetMode="External"/><Relationship Id="rId2697" Type="http://schemas.openxmlformats.org/officeDocument/2006/relationships/hyperlink" Target="http://www.facebook.com/CobraConciencia" TargetMode="External"/><Relationship Id="rId2820" Type="http://schemas.openxmlformats.org/officeDocument/2006/relationships/hyperlink" Target="http://pic.twitter.com/JvaqHOvGi8" TargetMode="External"/><Relationship Id="rId2918" Type="http://schemas.openxmlformats.org/officeDocument/2006/relationships/hyperlink" Target="https://pbs.twimg.com/media/DsKSK_fW0AUNkrj.jpg" TargetMode="External"/><Relationship Id="rId61" Type="http://schemas.openxmlformats.org/officeDocument/2006/relationships/hyperlink" Target="https://www.eldiario.es/_31fba826" TargetMode="External"/><Relationship Id="rId571" Type="http://schemas.openxmlformats.org/officeDocument/2006/relationships/hyperlink" Target="https://pbs.twimg.com/media/DsoJbXUUUAAjGwI.jpg" TargetMode="External"/><Relationship Id="rId669" Type="http://schemas.openxmlformats.org/officeDocument/2006/relationships/hyperlink" Target="https://www.elnacional.cat/es/politica/pablo-casado-ilegalizacion-cup-arran_327270_102.html" TargetMode="External"/><Relationship Id="rId876" Type="http://schemas.openxmlformats.org/officeDocument/2006/relationships/hyperlink" Target="http://www.ara.cat/cultura/" TargetMode="External"/><Relationship Id="rId1299" Type="http://schemas.openxmlformats.org/officeDocument/2006/relationships/hyperlink" Target="https://www.elmundotoday.com/2018/11/pedro-sanchez-y-pablo-casado-trabajaran-como-jueces-por-las-tardes-mientras-no-se-escoja-a-un-nuevo-presidente-del-poder-judicial/" TargetMode="External"/><Relationship Id="rId1727" Type="http://schemas.openxmlformats.org/officeDocument/2006/relationships/hyperlink" Target="http://www.revistaelobservador.com/" TargetMode="External"/><Relationship Id="rId1934" Type="http://schemas.openxmlformats.org/officeDocument/2006/relationships/hyperlink" Target="http://agaricus.eresmas.net/vspeciosa.htm" TargetMode="External"/><Relationship Id="rId2252" Type="http://schemas.openxmlformats.org/officeDocument/2006/relationships/hyperlink" Target="http://www.elmundo.es/espana.html" TargetMode="External"/><Relationship Id="rId2557" Type="http://schemas.openxmlformats.org/officeDocument/2006/relationships/hyperlink" Target="https://pbs.twimg.com/media/DsS1mvpVsAA5SH6.jpg" TargetMode="External"/><Relationship Id="rId19" Type="http://schemas.openxmlformats.org/officeDocument/2006/relationships/hyperlink" Target="http://pic.twitter.com/ULxnCRGb8z" TargetMode="External"/><Relationship Id="rId224" Type="http://schemas.openxmlformats.org/officeDocument/2006/relationships/hyperlink" Target="https://www.eldiario.es/escolar/Pablo-Casado-Poder-Judicial-Cosido_6_838576166.html" TargetMode="External"/><Relationship Id="rId431" Type="http://schemas.openxmlformats.org/officeDocument/2006/relationships/hyperlink" Target="http://www.elnacional.cat/es/" TargetMode="External"/><Relationship Id="rId529" Type="http://schemas.openxmlformats.org/officeDocument/2006/relationships/hyperlink" Target="https://m.eldiario.es/_31fabdf9" TargetMode="External"/><Relationship Id="rId736" Type="http://schemas.openxmlformats.org/officeDocument/2006/relationships/hyperlink" Target="https://m.eldiario.es/_31fabdf9" TargetMode="External"/><Relationship Id="rId1061" Type="http://schemas.openxmlformats.org/officeDocument/2006/relationships/hyperlink" Target="https://pbs.twimg.com/media/DseBLfmXoAcTj1A.jpg" TargetMode="External"/><Relationship Id="rId1159" Type="http://schemas.openxmlformats.org/officeDocument/2006/relationships/hyperlink" Target="https://www.huffingtonpost.es/2018/11/20/casado-propone-a-banez-presidir-la-comision-de-asuntos-exteriores-del-congreso_a_23594833/" TargetMode="External"/><Relationship Id="rId1366" Type="http://schemas.openxmlformats.org/officeDocument/2006/relationships/hyperlink" Target="http://atres.red/jokrq" TargetMode="External"/><Relationship Id="rId2112" Type="http://schemas.openxmlformats.org/officeDocument/2006/relationships/hyperlink" Target="http://m.sanacio-holistica-aguila-blanca.es/" TargetMode="External"/><Relationship Id="rId2196" Type="http://schemas.openxmlformats.org/officeDocument/2006/relationships/hyperlink" Target="http://loquepiensalucia.blogspot.com.es/" TargetMode="External"/><Relationship Id="rId2417" Type="http://schemas.openxmlformats.org/officeDocument/2006/relationships/hyperlink" Target="http://regueldosmentales.blogspot.com/" TargetMode="External"/><Relationship Id="rId2764" Type="http://schemas.openxmlformats.org/officeDocument/2006/relationships/hyperlink" Target="http://www.elmundo.es/espana.html" TargetMode="External"/><Relationship Id="rId2971" Type="http://schemas.openxmlformats.org/officeDocument/2006/relationships/hyperlink" Target="https://www.lasexta.com/noticias/nacional/elecciones-andalucia/pablo-casado-se-apunta-al-revisionismo-historico-nosotros-no-colonizabamos-lo-que-haciamos-era-tener-una-espana-mas-grande-video_201811175bf050940cf288806d386365.html" TargetMode="External"/><Relationship Id="rId168" Type="http://schemas.openxmlformats.org/officeDocument/2006/relationships/hyperlink" Target="https://www.eljueves.es/news/pablo-casado-intenta-comprar-remesa-esclavos-black-friday_2970" TargetMode="External"/><Relationship Id="rId943" Type="http://schemas.openxmlformats.org/officeDocument/2006/relationships/hyperlink" Target="http://democraciarealya.es/" TargetMode="External"/><Relationship Id="rId1019" Type="http://schemas.openxmlformats.org/officeDocument/2006/relationships/hyperlink" Target="http://diario16.com/denunciado-fiscal-pidio-archivo-del-caso-master-pablo-casado/?fbclid=IwAR1edX1ipMjybHMD2NsgOOCktjV6_0DRBEx5tpDYjjxN19ps1A9xgojAF6A" TargetMode="External"/><Relationship Id="rId1573" Type="http://schemas.openxmlformats.org/officeDocument/2006/relationships/hyperlink" Target="https://www.europapress.es/nacional/noticia-cosido-senala-no-planteado-dimitir-siente-respaldado-pablo-casado-20181120122235.html" TargetMode="External"/><Relationship Id="rId1780" Type="http://schemas.openxmlformats.org/officeDocument/2006/relationships/hyperlink" Target="http://agustinmartintorres.blogspot.com/" TargetMode="External"/><Relationship Id="rId1878" Type="http://schemas.openxmlformats.org/officeDocument/2006/relationships/hyperlink" Target="http://www.josemanuelsanzmolinero.wordpress.com/" TargetMode="External"/><Relationship Id="rId2624" Type="http://schemas.openxmlformats.org/officeDocument/2006/relationships/hyperlink" Target="http://20minutos.es/" TargetMode="External"/><Relationship Id="rId2831" Type="http://schemas.openxmlformats.org/officeDocument/2006/relationships/hyperlink" Target="http://www.boye-elbal.com/" TargetMode="External"/><Relationship Id="rId2929" Type="http://schemas.openxmlformats.org/officeDocument/2006/relationships/hyperlink" Target="https://pbs.twimg.com/media/DsNLOnEXQAEoUnD.jpg" TargetMode="External"/><Relationship Id="rId72" Type="http://schemas.openxmlformats.org/officeDocument/2006/relationships/hyperlink" Target="http://ferransalacasasampere.blogspot.com.es/" TargetMode="External"/><Relationship Id="rId375" Type="http://schemas.openxmlformats.org/officeDocument/2006/relationships/hyperlink" Target="http://dlvr.it/QrvXhb" TargetMode="External"/><Relationship Id="rId582" Type="http://schemas.openxmlformats.org/officeDocument/2006/relationships/hyperlink" Target="http://pic.twitter.com/bYVm7oqXnC" TargetMode="External"/><Relationship Id="rId803" Type="http://schemas.openxmlformats.org/officeDocument/2006/relationships/hyperlink" Target="http://diario16.com/denunciado-fiscal-pidio-archivo-del-caso-master-pablo-casado/" TargetMode="External"/><Relationship Id="rId1226" Type="http://schemas.openxmlformats.org/officeDocument/2006/relationships/hyperlink" Target="https://twitter.com/pablocasado_/status/1064961885383114754" TargetMode="External"/><Relationship Id="rId1433" Type="http://schemas.openxmlformats.org/officeDocument/2006/relationships/hyperlink" Target="https://pbs.twimg.com/media/DsdgNDaVAAEM880.jpg" TargetMode="External"/><Relationship Id="rId1640" Type="http://schemas.openxmlformats.org/officeDocument/2006/relationships/hyperlink" Target="https://stopsucesiones.org/%f0%9f%9b%91el-presidente-del-partido-popular-pablo-casado-se-compromete-con-stop-sucesiones-a-suprimir-el-impuesto-a-las-herencias-en-toda-espana/" TargetMode="External"/><Relationship Id="rId1738" Type="http://schemas.openxmlformats.org/officeDocument/2006/relationships/hyperlink" Target="http://pensandoenmirincon.blogspot.es/" TargetMode="External"/><Relationship Id="rId2056" Type="http://schemas.openxmlformats.org/officeDocument/2006/relationships/hyperlink" Target="http://www.guerraeterna.com/pablo-casado-contra-la-historia/" TargetMode="External"/><Relationship Id="rId2263" Type="http://schemas.openxmlformats.org/officeDocument/2006/relationships/hyperlink" Target="http://www.guerraeterna.com/pablo-casado-contra-la-historia/" TargetMode="External"/><Relationship Id="rId2470" Type="http://schemas.openxmlformats.org/officeDocument/2006/relationships/hyperlink" Target="https://www.elmira.es/" TargetMode="External"/><Relationship Id="rId3" Type="http://schemas.openxmlformats.org/officeDocument/2006/relationships/hyperlink" Target="https://okdiario.com/espana/2018/11/23/casado-reprocha-sanchez-que-no-llegue-tiempo-acuerdo-sobre-gibraltar-favorable-3383292" TargetMode="External"/><Relationship Id="rId235" Type="http://schemas.openxmlformats.org/officeDocument/2006/relationships/hyperlink" Target="https://m.eldiario.es/31fba826_838576166/" TargetMode="External"/><Relationship Id="rId442" Type="http://schemas.openxmlformats.org/officeDocument/2006/relationships/hyperlink" Target="http://www.alcantarillasocial.com/author/xuxipc/" TargetMode="External"/><Relationship Id="rId887" Type="http://schemas.openxmlformats.org/officeDocument/2006/relationships/hyperlink" Target="http://pic.twitter.com/eAnBYPTn01" TargetMode="External"/><Relationship Id="rId1072" Type="http://schemas.openxmlformats.org/officeDocument/2006/relationships/hyperlink" Target="https://www.eldiario.es/escolar/mentiras-Pablo-Casado-Gurtel-Irak_6_828777140.html" TargetMode="External"/><Relationship Id="rId1500" Type="http://schemas.openxmlformats.org/officeDocument/2006/relationships/hyperlink" Target="https://pbs.twimg.com/media/Dsc5JDvX4AAKCLJ.jpg" TargetMode="External"/><Relationship Id="rId1945" Type="http://schemas.openxmlformats.org/officeDocument/2006/relationships/hyperlink" Target="http://www.elplural.com/" TargetMode="External"/><Relationship Id="rId2123" Type="http://schemas.openxmlformats.org/officeDocument/2006/relationships/hyperlink" Target="http://www.periodistadigital.com/" TargetMode="External"/><Relationship Id="rId2330" Type="http://schemas.openxmlformats.org/officeDocument/2006/relationships/hyperlink" Target="http://pic.twitter.com/jWu1YpVPs5" TargetMode="External"/><Relationship Id="rId2568" Type="http://schemas.openxmlformats.org/officeDocument/2006/relationships/hyperlink" Target="http://www.elperiodico.com/" TargetMode="External"/><Relationship Id="rId2775" Type="http://schemas.openxmlformats.org/officeDocument/2006/relationships/hyperlink" Target="https://pbs.twimg.com/media/DsSQOZ6U0AAlO8d.jpg" TargetMode="External"/><Relationship Id="rId302" Type="http://schemas.openxmlformats.org/officeDocument/2006/relationships/hyperlink" Target="https://www.elperiodico.com/es/politica/20150619/pablo-casado-carcas-fosas-guerra-abuelo-comunicacion-cambios-partido-popular-4288555" TargetMode="External"/><Relationship Id="rId747" Type="http://schemas.openxmlformats.org/officeDocument/2006/relationships/hyperlink" Target="https://www.eldiario.es/politica/Pablo-Casado-exaltacion-franquismo-probidida_0_838516217.html" TargetMode="External"/><Relationship Id="rId954" Type="http://schemas.openxmlformats.org/officeDocument/2006/relationships/hyperlink" Target="http://www.juancarlosromero.wordpress.com/" TargetMode="External"/><Relationship Id="rId1377" Type="http://schemas.openxmlformats.org/officeDocument/2006/relationships/hyperlink" Target="https://laicismo.org/pablo-casado-en-un-acto-del-pp-en-cordoba-la-catedral-tiene-que-seguir-administrada-por-la-iglesia/" TargetMode="External"/><Relationship Id="rId1584" Type="http://schemas.openxmlformats.org/officeDocument/2006/relationships/hyperlink" Target="https://pbs.twimg.com/media/DsciwncW0AAeG45.jpg" TargetMode="External"/><Relationship Id="rId1791" Type="http://schemas.openxmlformats.org/officeDocument/2006/relationships/hyperlink" Target="https://latintademagallines.wordpress.com/" TargetMode="External"/><Relationship Id="rId1805" Type="http://schemas.openxmlformats.org/officeDocument/2006/relationships/hyperlink" Target="http://elperiodi.co/kv7id1" TargetMode="External"/><Relationship Id="rId2428" Type="http://schemas.openxmlformats.org/officeDocument/2006/relationships/hyperlink" Target="https://www.youtube.com/attribution_link?a=sLWJSJ-1Qpg&amp;u=%2Fwatch%3Fv%3Dx3y5KhIJ9gg%26feature%3Dshare" TargetMode="External"/><Relationship Id="rId2635" Type="http://schemas.openxmlformats.org/officeDocument/2006/relationships/hyperlink" Target="http://atres.red/ze6pl2" TargetMode="External"/><Relationship Id="rId2842" Type="http://schemas.openxmlformats.org/officeDocument/2006/relationships/hyperlink" Target="http://www.catala-advocats.com/" TargetMode="External"/><Relationship Id="rId83" Type="http://schemas.openxmlformats.org/officeDocument/2006/relationships/hyperlink" Target="https://www.eldiario.es/_31fba826" TargetMode="External"/><Relationship Id="rId179" Type="http://schemas.openxmlformats.org/officeDocument/2006/relationships/hyperlink" Target="http://www.eldiario.es/" TargetMode="External"/><Relationship Id="rId386" Type="http://schemas.openxmlformats.org/officeDocument/2006/relationships/hyperlink" Target="https://twitter.com/pablocasado_/status/1065549019861172225" TargetMode="External"/><Relationship Id="rId593" Type="http://schemas.openxmlformats.org/officeDocument/2006/relationships/hyperlink" Target="https://twitter.com/Yo_Soy_Asin/status/1065533070768508933" TargetMode="External"/><Relationship Id="rId607" Type="http://schemas.openxmlformats.org/officeDocument/2006/relationships/hyperlink" Target="http://www.publico.es/" TargetMode="External"/><Relationship Id="rId814" Type="http://schemas.openxmlformats.org/officeDocument/2006/relationships/hyperlink" Target="https://pbs.twimg.com/media/DsmhqjzU8AEhmfY.jpg" TargetMode="External"/><Relationship Id="rId1237" Type="http://schemas.openxmlformats.org/officeDocument/2006/relationships/hyperlink" Target="https://www.youtube.com/channel/UCCx9Dm5y3XklFmIq4thw_SQ" TargetMode="External"/><Relationship Id="rId1444" Type="http://schemas.openxmlformats.org/officeDocument/2006/relationships/hyperlink" Target="http://esradio.libertaddigital.com/es-la-tarde-de-dieter/" TargetMode="External"/><Relationship Id="rId1651" Type="http://schemas.openxmlformats.org/officeDocument/2006/relationships/hyperlink" Target="https://pbs.twimg.com/media/DscPWaPWkAAYl-7.jpg" TargetMode="External"/><Relationship Id="rId1889" Type="http://schemas.openxmlformats.org/officeDocument/2006/relationships/hyperlink" Target="https://www.eljueves.es/news/pablo-casado-propone-invadir-polonia-para-hacer-espana-mas-grande_2959?utm_source=facebook&amp;utm_medium=social&amp;utm_campaign=trafico" TargetMode="External"/><Relationship Id="rId2067" Type="http://schemas.openxmlformats.org/officeDocument/2006/relationships/hyperlink" Target="http://diario16.com/denunciado-fiscal-pidio-archivo-del-caso-master-pablo-casado/" TargetMode="External"/><Relationship Id="rId2274" Type="http://schemas.openxmlformats.org/officeDocument/2006/relationships/hyperlink" Target="https://www.veoinfo.com/pablo-casado-en-andalucia-mas-candidato-que-juanma-moreno/" TargetMode="External"/><Relationship Id="rId2481" Type="http://schemas.openxmlformats.org/officeDocument/2006/relationships/hyperlink" Target="http://www.guerraeterna.com/pablo-casado-contra-la-historia/" TargetMode="External"/><Relationship Id="rId2702" Type="http://schemas.openxmlformats.org/officeDocument/2006/relationships/hyperlink" Target="https://www.elmundo.es/andalucia/2018/11/18/5bf1600fe2704ed9718b45f0.html" TargetMode="External"/><Relationship Id="rId246" Type="http://schemas.openxmlformats.org/officeDocument/2006/relationships/hyperlink" Target="https://pbs.twimg.com/media/DsrOTbcXQAEZnj1.jpg" TargetMode="External"/><Relationship Id="rId453" Type="http://schemas.openxmlformats.org/officeDocument/2006/relationships/hyperlink" Target="http://www.lagacetadealmeria.com/" TargetMode="External"/><Relationship Id="rId660" Type="http://schemas.openxmlformats.org/officeDocument/2006/relationships/hyperlink" Target="http://vibefamily.wordpress.com/" TargetMode="External"/><Relationship Id="rId898" Type="http://schemas.openxmlformats.org/officeDocument/2006/relationships/hyperlink" Target="https://www.linkedin.com/in/stephanegrueso" TargetMode="External"/><Relationship Id="rId1083" Type="http://schemas.openxmlformats.org/officeDocument/2006/relationships/hyperlink" Target="https://pbs.twimg.com/media/DsinU-DUcAAAv-8.jpg" TargetMode="External"/><Relationship Id="rId1290" Type="http://schemas.openxmlformats.org/officeDocument/2006/relationships/hyperlink" Target="http://paper.li/wizfun/1315752719" TargetMode="External"/><Relationship Id="rId1304" Type="http://schemas.openxmlformats.org/officeDocument/2006/relationships/hyperlink" Target="https://www.vozpopuli.com/_4716e194" TargetMode="External"/><Relationship Id="rId1511" Type="http://schemas.openxmlformats.org/officeDocument/2006/relationships/hyperlink" Target="http://bit.ly/2A7IbqZ" TargetMode="External"/><Relationship Id="rId1749" Type="http://schemas.openxmlformats.org/officeDocument/2006/relationships/hyperlink" Target="https://pbs.twimg.com/media/Dsa_CUnX4AEsy42.jpg" TargetMode="External"/><Relationship Id="rId1956" Type="http://schemas.openxmlformats.org/officeDocument/2006/relationships/hyperlink" Target="https://www.facebook.com/wilmer.torres.315/posts/10215598980040356" TargetMode="External"/><Relationship Id="rId2134" Type="http://schemas.openxmlformats.org/officeDocument/2006/relationships/hyperlink" Target="https://www.elconfidencial.com/elecciones-andalucia/2018-11-16/pablo-casado-partido-popular-mercado-triana-esperanza_1651626/?utm_source=twitter&amp;utm_medium=social&amp;utm_campaign=BotoneraWeb" TargetMode="External"/><Relationship Id="rId2341" Type="http://schemas.openxmlformats.org/officeDocument/2006/relationships/hyperlink" Target="https://www.hechosdehoy.com/pablo-casado-lucha-por-tres-escanos-decisivos-para-derrotar-al-psoe-70190.htm" TargetMode="External"/><Relationship Id="rId2579" Type="http://schemas.openxmlformats.org/officeDocument/2006/relationships/hyperlink" Target="https://www.huffingtonpost.es/2018/11/17/pablo-casado-los-espanoles-no-colonizabamos-lo-que-haciamos-era-tener-una-espana-mas-grande_a_23592393/?utm_source=taboola&amp;utm_medium=referral" TargetMode="External"/><Relationship Id="rId2786" Type="http://schemas.openxmlformats.org/officeDocument/2006/relationships/hyperlink" Target="https://ift.tt/2FsfQ4v" TargetMode="External"/><Relationship Id="rId106" Type="http://schemas.openxmlformats.org/officeDocument/2006/relationships/hyperlink" Target="http://elconfidencial.com/" TargetMode="External"/><Relationship Id="rId313" Type="http://schemas.openxmlformats.org/officeDocument/2006/relationships/hyperlink" Target="https://www.facebook.com/Mortimer.Fu/" TargetMode="External"/><Relationship Id="rId758" Type="http://schemas.openxmlformats.org/officeDocument/2006/relationships/hyperlink" Target="https://m.eldiario.es/politica/Pablo-Casado-exaltacion-franquismo-probidida_0_838516217.html" TargetMode="External"/><Relationship Id="rId965" Type="http://schemas.openxmlformats.org/officeDocument/2006/relationships/hyperlink" Target="https://nzzl.us/X7i82Cn" TargetMode="External"/><Relationship Id="rId1150" Type="http://schemas.openxmlformats.org/officeDocument/2006/relationships/hyperlink" Target="https://pbs.twimg.com/media/Dsh0zCiXgAE0EDJ.jpg" TargetMode="External"/><Relationship Id="rId1388" Type="http://schemas.openxmlformats.org/officeDocument/2006/relationships/hyperlink" Target="https://youtu.be/QROdJCONfvc" TargetMode="External"/><Relationship Id="rId1595" Type="http://schemas.openxmlformats.org/officeDocument/2006/relationships/hyperlink" Target="https://www.twitch.tv/bloodmoonspell" TargetMode="External"/><Relationship Id="rId1609" Type="http://schemas.openxmlformats.org/officeDocument/2006/relationships/hyperlink" Target="http://autillotwitt.blogspot.com/" TargetMode="External"/><Relationship Id="rId1816" Type="http://schemas.openxmlformats.org/officeDocument/2006/relationships/hyperlink" Target="https://youtu.be/WbcOau_ZpBA" TargetMode="External"/><Relationship Id="rId2439" Type="http://schemas.openxmlformats.org/officeDocument/2006/relationships/hyperlink" Target="http://umh1194.edu.umh.es/" TargetMode="External"/><Relationship Id="rId2646" Type="http://schemas.openxmlformats.org/officeDocument/2006/relationships/hyperlink" Target="https://www.marcialpons.es/libros/politicas-del-pasado-en-la-espana-franquista-1939-1964/9788415963998/" TargetMode="External"/><Relationship Id="rId2853" Type="http://schemas.openxmlformats.org/officeDocument/2006/relationships/hyperlink" Target="https://www.diariocordoba.com/noticias/2d-elecciones-andaluzas/pablo-casado-apoya-iglesia-gestione-mezquita-catedral_1264871.html" TargetMode="External"/><Relationship Id="rId10" Type="http://schemas.openxmlformats.org/officeDocument/2006/relationships/hyperlink" Target="https://okdiario.com/espana/2018/11/23/casado-reprocha-sanchez-que-no-llegue-tiempo-acuerdo-sobre-gibraltar-favorable-3383292" TargetMode="External"/><Relationship Id="rId94" Type="http://schemas.openxmlformats.org/officeDocument/2006/relationships/hyperlink" Target="https://www.elconfidencial.com/espana/2018-11-23/brexit-pablo-casado-apoyo-gobierno-veto_1664574/?utm_source=twitter&amp;utm_medium=social&amp;utm_campaign=BotoneraWeb" TargetMode="External"/><Relationship Id="rId397" Type="http://schemas.openxmlformats.org/officeDocument/2006/relationships/hyperlink" Target="https://www.eldiario.es/escolar/Pablo-Casado-Poder-Judicial-Cosido_6_838576166.html" TargetMode="External"/><Relationship Id="rId520" Type="http://schemas.openxmlformats.org/officeDocument/2006/relationships/hyperlink" Target="https://www.eldiario.es/politica/Pablo-Casado-exaltacion-franquismo-probidida_0_838516217.html" TargetMode="External"/><Relationship Id="rId618" Type="http://schemas.openxmlformats.org/officeDocument/2006/relationships/hyperlink" Target="https://www.eldiario.es/_31fabdf9" TargetMode="External"/><Relationship Id="rId825" Type="http://schemas.openxmlformats.org/officeDocument/2006/relationships/hyperlink" Target="http://liverdades.com/" TargetMode="External"/><Relationship Id="rId1248" Type="http://schemas.openxmlformats.org/officeDocument/2006/relationships/hyperlink" Target="http://www.jcdiez.com/2018/07/23/pablo-casado-y-la-economia-vudu/" TargetMode="External"/><Relationship Id="rId1455" Type="http://schemas.openxmlformats.org/officeDocument/2006/relationships/hyperlink" Target="http://www.huffingtonpost.es/2018/11/20/casado-propone-a-banez-presidir-la-comision-de-asuntos-exteriores-del-congreso_a_23594833/" TargetMode="External"/><Relationship Id="rId1662" Type="http://schemas.openxmlformats.org/officeDocument/2006/relationships/hyperlink" Target="http://www.elclubdelosviernes.org/" TargetMode="External"/><Relationship Id="rId2078" Type="http://schemas.openxmlformats.org/officeDocument/2006/relationships/hyperlink" Target="https://pbs.twimg.com/media/DsXYz_6UwAEczjL.jpg" TargetMode="External"/><Relationship Id="rId2201" Type="http://schemas.openxmlformats.org/officeDocument/2006/relationships/hyperlink" Target="https://www.eldiario.es/_31e5622c" TargetMode="External"/><Relationship Id="rId2285" Type="http://schemas.openxmlformats.org/officeDocument/2006/relationships/hyperlink" Target="https://www.carlosmata.es/" TargetMode="External"/><Relationship Id="rId2492"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506"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57" Type="http://schemas.openxmlformats.org/officeDocument/2006/relationships/hyperlink" Target="https://m.eldiario.es/_31fba826" TargetMode="External"/><Relationship Id="rId464" Type="http://schemas.openxmlformats.org/officeDocument/2006/relationships/hyperlink" Target="http://www.banquilleros.com/" TargetMode="External"/><Relationship Id="rId1010" Type="http://schemas.openxmlformats.org/officeDocument/2006/relationships/hyperlink" Target="http://www.abc.es/" TargetMode="External"/><Relationship Id="rId1094" Type="http://schemas.openxmlformats.org/officeDocument/2006/relationships/hyperlink" Target="https://twitter.com/diarioas/status/1064639516907094017" TargetMode="External"/><Relationship Id="rId1108" Type="http://schemas.openxmlformats.org/officeDocument/2006/relationships/hyperlink" Target="https://pbs.twimg.com/media/Dsg5pPZUUAAigpp.jpg" TargetMode="External"/><Relationship Id="rId1315" Type="http://schemas.openxmlformats.org/officeDocument/2006/relationships/hyperlink" Target="http://dlvr.it/Qrkb9S" TargetMode="External"/><Relationship Id="rId1967" Type="http://schemas.openxmlformats.org/officeDocument/2006/relationships/hyperlink" Target="https://pbs.twimg.com/media/DsYFo3RWwAAQLrb.jpg" TargetMode="External"/><Relationship Id="rId2145" Type="http://schemas.openxmlformats.org/officeDocument/2006/relationships/hyperlink" Target="https://www.youtube.com/attribution_link?a=li9ZKFPFz44&amp;u=%2Fwatch%3Fv%3DgBj1ZEfTu1o%26feature%3Dshare" TargetMode="External"/><Relationship Id="rId2713" Type="http://schemas.openxmlformats.org/officeDocument/2006/relationships/hyperlink" Target="https://ift.tt/2FsfQ4v" TargetMode="External"/><Relationship Id="rId2797" Type="http://schemas.openxmlformats.org/officeDocument/2006/relationships/hyperlink" Target="https://pbs.twimg.com/media/DsSKK0fWoAACLGa.jpg" TargetMode="External"/><Relationship Id="rId2920" Type="http://schemas.openxmlformats.org/officeDocument/2006/relationships/hyperlink" Target="https://www.vozpopuli.com/_47092341" TargetMode="External"/><Relationship Id="rId117" Type="http://schemas.openxmlformats.org/officeDocument/2006/relationships/hyperlink" Target="https://www.eldiario.es/_31fba826" TargetMode="External"/><Relationship Id="rId671" Type="http://schemas.openxmlformats.org/officeDocument/2006/relationships/hyperlink" Target="http://www.tabarnia.es/" TargetMode="External"/><Relationship Id="rId769" Type="http://schemas.openxmlformats.org/officeDocument/2006/relationships/hyperlink" Target="http://www.ecopanaderia.com/" TargetMode="External"/><Relationship Id="rId976" Type="http://schemas.openxmlformats.org/officeDocument/2006/relationships/hyperlink" Target="http://www.ctxt.es/" TargetMode="External"/><Relationship Id="rId1399" Type="http://schemas.openxmlformats.org/officeDocument/2006/relationships/hyperlink" Target="https://www.youtube.com/attribution_link?a=degRVGxQ0pw&amp;u=%2Fwatch%3Fv%3DQROdJCONfvc%26feature%3Dshare" TargetMode="External"/><Relationship Id="rId2352" Type="http://schemas.openxmlformats.org/officeDocument/2006/relationships/hyperlink" Target="http://www.salvadorcardus.cat/" TargetMode="External"/><Relationship Id="rId2657" Type="http://schemas.openxmlformats.org/officeDocument/2006/relationships/hyperlink" Target="http://www.elnortedecastilla.es/" TargetMode="External"/><Relationship Id="rId324" Type="http://schemas.openxmlformats.org/officeDocument/2006/relationships/hyperlink" Target="https://www.eldiario.es/escolar/Pablo-Casado-Poder-Judicial-Cosido_6_838576166.html" TargetMode="External"/><Relationship Id="rId531" Type="http://schemas.openxmlformats.org/officeDocument/2006/relationships/hyperlink" Target="http://ow.ly/isnj30mItpj" TargetMode="External"/><Relationship Id="rId629" Type="http://schemas.openxmlformats.org/officeDocument/2006/relationships/hyperlink" Target="https://www.eldiario.es/politica/Pablo-Casado-exaltacion-franquismo-probidida_0_838516217.html" TargetMode="External"/><Relationship Id="rId1161" Type="http://schemas.openxmlformats.org/officeDocument/2006/relationships/hyperlink" Target="http://www.huffingtonpost.es/" TargetMode="External"/><Relationship Id="rId1259" Type="http://schemas.openxmlformats.org/officeDocument/2006/relationships/hyperlink" Target="http://www.facebook.com/profile.php?id=727486311&amp;sk=info" TargetMode="External"/><Relationship Id="rId1466" Type="http://schemas.openxmlformats.org/officeDocument/2006/relationships/hyperlink" Target="http://youtu.be/8mujsk4mBHo" TargetMode="External"/><Relationship Id="rId2005" Type="http://schemas.openxmlformats.org/officeDocument/2006/relationships/hyperlink" Target="http://www.periodistadigital.com/" TargetMode="External"/><Relationship Id="rId2212" Type="http://schemas.openxmlformats.org/officeDocument/2006/relationships/hyperlink" Target="https://pbs.twimg.com/media/DsWpa2qW0AAuEVg.jpg" TargetMode="External"/><Relationship Id="rId2864" Type="http://schemas.openxmlformats.org/officeDocument/2006/relationships/hyperlink" Target="http://www.lacerca.com/noticias/castilla_la_mancha/pablo-casado-12-diciembre-congreso-internacional-afammer-igualdad-445423-1.html" TargetMode="External"/><Relationship Id="rId836" Type="http://schemas.openxmlformats.org/officeDocument/2006/relationships/hyperlink" Target="https://pbs.twimg.com/media/Dsl_NCQUwAEWVoD.jpg" TargetMode="External"/><Relationship Id="rId1021" Type="http://schemas.openxmlformats.org/officeDocument/2006/relationships/hyperlink" Target="https://pbs.twimg.com/media/DsjXSoMXcAA87gK.jpg" TargetMode="External"/><Relationship Id="rId1119" Type="http://schemas.openxmlformats.org/officeDocument/2006/relationships/hyperlink" Target="http://flip.it/u2i58A" TargetMode="External"/><Relationship Id="rId1673" Type="http://schemas.openxmlformats.org/officeDocument/2006/relationships/hyperlink" Target="https://www.facebook.com/jesus.fernandez.102977" TargetMode="External"/><Relationship Id="rId1880" Type="http://schemas.openxmlformats.org/officeDocument/2006/relationships/hyperlink" Target="https://okdiario.com/general/2018/11/19/casado-suma-idea-del-adelanto-electoral-pp-esta-preparado-ganar-3367348" TargetMode="External"/><Relationship Id="rId1978" Type="http://schemas.openxmlformats.org/officeDocument/2006/relationships/hyperlink" Target="http://diario16.com/denunciado-fiscal-pidio-archivo-del-caso-master-pablo-casado/" TargetMode="External"/><Relationship Id="rId2517" Type="http://schemas.openxmlformats.org/officeDocument/2006/relationships/hyperlink" Target="http://t52m.blogspot.com.es/" TargetMode="External"/><Relationship Id="rId2724" Type="http://schemas.openxmlformats.org/officeDocument/2006/relationships/hyperlink" Target="https://pbs.twimg.com/media/DsSeHynWwAAeAs-.jpg" TargetMode="External"/><Relationship Id="rId2931" Type="http://schemas.openxmlformats.org/officeDocument/2006/relationships/hyperlink" Target="http://wp.me/p7ozvv-J" TargetMode="External"/><Relationship Id="rId903" Type="http://schemas.openxmlformats.org/officeDocument/2006/relationships/hyperlink" Target="https://sinsabernada.wordpress.com/" TargetMode="External"/><Relationship Id="rId1326" Type="http://schemas.openxmlformats.org/officeDocument/2006/relationships/hyperlink" Target="http://diario16.com/denunciado-fiscal-pidio-archivo-del-caso-master-pablo-casado/" TargetMode="External"/><Relationship Id="rId1533" Type="http://schemas.openxmlformats.org/officeDocument/2006/relationships/hyperlink" Target="https://pbs.twimg.com/media/DscqZR8WkAAv0o4.jpg" TargetMode="External"/><Relationship Id="rId1740" Type="http://schemas.openxmlformats.org/officeDocument/2006/relationships/hyperlink" Target="https://okdiario.com/autor/liberal" TargetMode="External"/><Relationship Id="rId32" Type="http://schemas.openxmlformats.org/officeDocument/2006/relationships/hyperlink" Target="http://www.ivoox.com/29845151" TargetMode="External"/><Relationship Id="rId1600" Type="http://schemas.openxmlformats.org/officeDocument/2006/relationships/hyperlink" Target="https://pbs.twimg.com/media/DscfiKjWwAAfrC-.jpg" TargetMode="External"/><Relationship Id="rId1838" Type="http://schemas.openxmlformats.org/officeDocument/2006/relationships/hyperlink" Target="http://twitch.tv/loseloth" TargetMode="External"/><Relationship Id="rId181" Type="http://schemas.openxmlformats.org/officeDocument/2006/relationships/hyperlink" Target="http://www.komchen.org/" TargetMode="External"/><Relationship Id="rId1905" Type="http://schemas.openxmlformats.org/officeDocument/2006/relationships/hyperlink" Target="http://laguancha.wordpress.com/" TargetMode="External"/><Relationship Id="rId279" Type="http://schemas.openxmlformats.org/officeDocument/2006/relationships/hyperlink" Target="https://m.eldiario.es/_31fba826" TargetMode="External"/><Relationship Id="rId486" Type="http://schemas.openxmlformats.org/officeDocument/2006/relationships/hyperlink" Target="http://alcantarillasocial.com/author/protestona1" TargetMode="External"/><Relationship Id="rId693" Type="http://schemas.openxmlformats.org/officeDocument/2006/relationships/hyperlink" Target="https://www.eldiario.es/politica/Pablo-Casado-exaltacion-franquismo-probidida_0_838516217.html" TargetMode="External"/><Relationship Id="rId2167" Type="http://schemas.openxmlformats.org/officeDocument/2006/relationships/hyperlink" Target="http://www.canal4radio.com/" TargetMode="External"/><Relationship Id="rId2374" Type="http://schemas.openxmlformats.org/officeDocument/2006/relationships/hyperlink" Target="https://youtu.be/rS-_EZgRb0w" TargetMode="External"/><Relationship Id="rId2581" Type="http://schemas.openxmlformats.org/officeDocument/2006/relationships/hyperlink" Target="https://www.20minutos.es/noticia/3494665/0/pablo-casado-reivindica-gibraltar-espanol-culpa-sanchez-traicion?utm_source=twitter.com&amp;utm_medium=socialshare&amp;utm_campaign=mobile_app" TargetMode="External"/><Relationship Id="rId139" Type="http://schemas.openxmlformats.org/officeDocument/2006/relationships/hyperlink" Target="https://www.eljueves.es/news/pablo-casado-intenta-comprar-remesa-esclavos-black-friday_2970?utm_source=facebook&amp;utm_medium=social&amp;utm_campaign=trafico" TargetMode="External"/><Relationship Id="rId346" Type="http://schemas.openxmlformats.org/officeDocument/2006/relationships/hyperlink" Target="https://m.eldiario.es/_31fba826" TargetMode="External"/><Relationship Id="rId553" Type="http://schemas.openxmlformats.org/officeDocument/2006/relationships/hyperlink" Target="http://www.ppsantafe.org/" TargetMode="External"/><Relationship Id="rId760" Type="http://schemas.openxmlformats.org/officeDocument/2006/relationships/hyperlink" Target="https://www.lavanguardia.com/vida/20181120/453067092739/cambio16-reconoce-el-talento-de-pedro-piqueras-carolina-marin-ivan-duque-y-pablo-casado-entre-otros.html" TargetMode="External"/><Relationship Id="rId998" Type="http://schemas.openxmlformats.org/officeDocument/2006/relationships/hyperlink" Target="https://www.libertaddigital.com/espana/2018-11-21/pedro-sanchez-pide-a-casado-y-rufian-que-pidan-discupas-por-el-escupitajo-de-erc-a-borell-1276628638/" TargetMode="External"/><Relationship Id="rId1183" Type="http://schemas.openxmlformats.org/officeDocument/2006/relationships/hyperlink" Target="https://goo.gl/SHtmce" TargetMode="External"/><Relationship Id="rId1390" Type="http://schemas.openxmlformats.org/officeDocument/2006/relationships/hyperlink" Target="http://diario6.com/pablo-casado-el-hombre-que-cobra-1-842-euros-en-dietas-por-ser-diputado-por-avila-pero-que-vive-y-vota-en-madrid/" TargetMode="External"/><Relationship Id="rId2027" Type="http://schemas.openxmlformats.org/officeDocument/2006/relationships/hyperlink" Target="http://pic.twitter.com/EXEDbsYirt" TargetMode="External"/><Relationship Id="rId2234" Type="http://schemas.openxmlformats.org/officeDocument/2006/relationships/hyperlink" Target="http://pic.twitter.com/ex3ThfufrT" TargetMode="External"/><Relationship Id="rId2441" Type="http://schemas.openxmlformats.org/officeDocument/2006/relationships/hyperlink" Target="http://www.atlanticaxxii.com/" TargetMode="External"/><Relationship Id="rId2679" Type="http://schemas.openxmlformats.org/officeDocument/2006/relationships/hyperlink" Target="https://okdiario.com/espana/2018/11/18/casado-reclama-cosoberania-gibraltar-no-queremos-verja-3364229" TargetMode="External"/><Relationship Id="rId2886" Type="http://schemas.openxmlformats.org/officeDocument/2006/relationships/hyperlink" Target="http://blogs.libertaddigital.com/enigmas-del-11-m/pablo-casado-entrega-la-justicia-a-pedro-sanchez-15104/" TargetMode="External"/><Relationship Id="rId206" Type="http://schemas.openxmlformats.org/officeDocument/2006/relationships/hyperlink" Target="https://caballerogea.blogspot.com/" TargetMode="External"/><Relationship Id="rId413" Type="http://schemas.openxmlformats.org/officeDocument/2006/relationships/hyperlink" Target="http://bit.ly/2aBX4nT" TargetMode="External"/><Relationship Id="rId858" Type="http://schemas.openxmlformats.org/officeDocument/2006/relationships/hyperlink" Target="http://bit.ly/2QYVn8P" TargetMode="External"/><Relationship Id="rId1043" Type="http://schemas.openxmlformats.org/officeDocument/2006/relationships/hyperlink" Target="http://www.facebook.com/MudoSordoYCiego" TargetMode="External"/><Relationship Id="rId1488" Type="http://schemas.openxmlformats.org/officeDocument/2006/relationships/hyperlink" Target="https://pbs.twimg.com/media/DsdBo18WwAIRW-6.jpg" TargetMode="External"/><Relationship Id="rId1695" Type="http://schemas.openxmlformats.org/officeDocument/2006/relationships/hyperlink" Target="https://www.mediterraneodigital.com/opinion/columnistas-de-opinion/alejo-vidal-quadras/el-alea-iacta-est-de-pablo-casado.html" TargetMode="External"/><Relationship Id="rId2539" Type="http://schemas.openxmlformats.org/officeDocument/2006/relationships/hyperlink" Target="https://www.elmundo.es/andalucia/2018/11/18/5bf1600fe2704ed9718b45f0.html" TargetMode="External"/><Relationship Id="rId2746" Type="http://schemas.openxmlformats.org/officeDocument/2006/relationships/hyperlink" Target="http://www.eldiario.es/" TargetMode="External"/><Relationship Id="rId2953" Type="http://schemas.openxmlformats.org/officeDocument/2006/relationships/hyperlink" Target="http://blogs.libertaddigital.com/enigmas-del-11-m/pablo-casado-entrega-la-justicia-a-pedro-sanchez-15104/" TargetMode="External"/><Relationship Id="rId620" Type="http://schemas.openxmlformats.org/officeDocument/2006/relationships/hyperlink" Target="http://memoriasdeunadiabetica.blogspot.com.es/" TargetMode="External"/><Relationship Id="rId718" Type="http://schemas.openxmlformats.org/officeDocument/2006/relationships/hyperlink" Target="https://m.eldiario.es/_31fabdf9" TargetMode="External"/><Relationship Id="rId925" Type="http://schemas.openxmlformats.org/officeDocument/2006/relationships/hyperlink" Target="http://www.cambio16.com/" TargetMode="External"/><Relationship Id="rId1250" Type="http://schemas.openxmlformats.org/officeDocument/2006/relationships/hyperlink" Target="http://www.lavanguardia.com/" TargetMode="External"/><Relationship Id="rId1348" Type="http://schemas.openxmlformats.org/officeDocument/2006/relationships/hyperlink" Target="https://pbs.twimg.com/media/DseBLfmXoAcTj1A.jpg" TargetMode="External"/><Relationship Id="rId1555" Type="http://schemas.openxmlformats.org/officeDocument/2006/relationships/hyperlink" Target="https://okdiario.com/espana/2018/11/20/casado-alerta-peligros-del-populismo-pone-como-ejemplo-lo-rapido-que-llego-venezuela-3371105" TargetMode="External"/><Relationship Id="rId1762" Type="http://schemas.openxmlformats.org/officeDocument/2006/relationships/hyperlink" Target="http://tarotmariadelpilar.wordpress.com/" TargetMode="External"/><Relationship Id="rId2301" Type="http://schemas.openxmlformats.org/officeDocument/2006/relationships/hyperlink" Target="https://pbs.twimg.com/media/DsWDDwnWoAAIK9v.jpg" TargetMode="External"/><Relationship Id="rId2606" Type="http://schemas.openxmlformats.org/officeDocument/2006/relationships/hyperlink" Target="https://ca.wikipedia.org/wiki/Sant_Esteve_de_les_Roures" TargetMode="External"/><Relationship Id="rId1110" Type="http://schemas.openxmlformats.org/officeDocument/2006/relationships/hyperlink" Target="http://pic.twitter.com/n5PsPsyj4a" TargetMode="External"/><Relationship Id="rId1208" Type="http://schemas.openxmlformats.org/officeDocument/2006/relationships/hyperlink" Target="http://www.latribunadelpaisvasco.com/" TargetMode="External"/><Relationship Id="rId1415" Type="http://schemas.openxmlformats.org/officeDocument/2006/relationships/hyperlink" Target="https://pbs.twimg.com/media/Dsdu1GnUUAEFZE0.jpg" TargetMode="External"/><Relationship Id="rId2813" Type="http://schemas.openxmlformats.org/officeDocument/2006/relationships/hyperlink" Target="http://blogs.libertaddigital.com/enigmas-del-11-m/pablo-casado-entrega-la-justicia-a-pedro-sanchez-15104/" TargetMode="External"/><Relationship Id="rId54" Type="http://schemas.openxmlformats.org/officeDocument/2006/relationships/hyperlink" Target="https://diario6.com/pablo-casado-el-hombre-que-cobra-1-842-euros-en-dietas-por-ser-diputado-por-avila-pero-que-vive-y-vota-en-madrid/" TargetMode="External"/><Relationship Id="rId1622" Type="http://schemas.openxmlformats.org/officeDocument/2006/relationships/hyperlink" Target="https://pbs.twimg.com/media/DscXr0FXQAAIWKh.jpg" TargetMode="External"/><Relationship Id="rId1927" Type="http://schemas.openxmlformats.org/officeDocument/2006/relationships/hyperlink" Target="http://solucionadordecagadas.com/" TargetMode="External"/><Relationship Id="rId2091" Type="http://schemas.openxmlformats.org/officeDocument/2006/relationships/hyperlink" Target="http://diario16.com/denunciado-fiscal-pidio-archivo-del-caso-master-pablo-casado/" TargetMode="External"/><Relationship Id="rId2189" Type="http://schemas.openxmlformats.org/officeDocument/2006/relationships/hyperlink" Target="https://buff.ly/2A21zFL" TargetMode="External"/><Relationship Id="rId270" Type="http://schemas.openxmlformats.org/officeDocument/2006/relationships/hyperlink" Target="https://pbs.twimg.com/media/DsjFICzWoAEni7d.jpg" TargetMode="External"/><Relationship Id="rId2396" Type="http://schemas.openxmlformats.org/officeDocument/2006/relationships/hyperlink" Target="https://pbs.twimg.com/media/DsT-FiIXcAIjNwU.jpg" TargetMode="External"/><Relationship Id="rId130" Type="http://schemas.openxmlformats.org/officeDocument/2006/relationships/hyperlink" Target="https://pbs.twimg.com/media/DsoteRRV4AAO1jd.jpg" TargetMode="External"/><Relationship Id="rId368" Type="http://schemas.openxmlformats.org/officeDocument/2006/relationships/hyperlink" Target="http://javiermarcosangulo.blogspot.com.es/" TargetMode="External"/><Relationship Id="rId575" Type="http://schemas.openxmlformats.org/officeDocument/2006/relationships/hyperlink" Target="https://pbs.twimg.com/media/DsoHsUbXcAIHTDr.jpg" TargetMode="External"/><Relationship Id="rId782" Type="http://schemas.openxmlformats.org/officeDocument/2006/relationships/hyperlink" Target="http://veoinfo.com/" TargetMode="External"/><Relationship Id="rId2049" Type="http://schemas.openxmlformats.org/officeDocument/2006/relationships/hyperlink" Target="https://pbs.twimg.com/media/DsXiBu8XQAAtHN0.jpg" TargetMode="External"/><Relationship Id="rId2256" Type="http://schemas.openxmlformats.org/officeDocument/2006/relationships/hyperlink" Target="https://ift.tt/2OOrqq9" TargetMode="External"/><Relationship Id="rId2463" Type="http://schemas.openxmlformats.org/officeDocument/2006/relationships/hyperlink" Target="http://youtu.be/gBj1ZEfTu1o?a" TargetMode="External"/><Relationship Id="rId2670" Type="http://schemas.openxmlformats.org/officeDocument/2006/relationships/hyperlink" Target="https://telegram.me/ecorepublicano" TargetMode="External"/><Relationship Id="rId228" Type="http://schemas.openxmlformats.org/officeDocument/2006/relationships/hyperlink" Target="https://www.eldiario.es/_31fba826" TargetMode="External"/><Relationship Id="rId435" Type="http://schemas.openxmlformats.org/officeDocument/2006/relationships/hyperlink" Target="http://pic.twitter.com/1hrNJonzsH" TargetMode="External"/><Relationship Id="rId642" Type="http://schemas.openxmlformats.org/officeDocument/2006/relationships/hyperlink" Target="http://vicentvercher.wordpress.com/" TargetMode="External"/><Relationship Id="rId1065" Type="http://schemas.openxmlformats.org/officeDocument/2006/relationships/hyperlink" Target="https://pbs.twimg.com/media/DshcjBQWoAEzhNl.jpg" TargetMode="External"/><Relationship Id="rId1272" Type="http://schemas.openxmlformats.org/officeDocument/2006/relationships/hyperlink" Target="https://www.eldiario.es/directo/congreso" TargetMode="External"/><Relationship Id="rId2116" Type="http://schemas.openxmlformats.org/officeDocument/2006/relationships/hyperlink" Target="http://www.portaldecadiz.com/" TargetMode="External"/><Relationship Id="rId2323" Type="http://schemas.openxmlformats.org/officeDocument/2006/relationships/hyperlink" Target="https://www.elplural.com/opinion/los-calvitos/la-historia-segun-pablo-casado_206557102" TargetMode="External"/><Relationship Id="rId2530" Type="http://schemas.openxmlformats.org/officeDocument/2006/relationships/hyperlink" Target="https://www.elmundo.es/andalucia/2018/11/18/5bf1600fe2704ed9718b45f0.html" TargetMode="External"/><Relationship Id="rId2768" Type="http://schemas.openxmlformats.org/officeDocument/2006/relationships/hyperlink" Target="https://www.youtube.com/channel/UCY60GBj-H8SmayRG1UgDVWw" TargetMode="External"/><Relationship Id="rId502" Type="http://schemas.openxmlformats.org/officeDocument/2006/relationships/hyperlink" Target="https://pbs.twimg.com/media/DsofivBX4AAbQxk.jpg" TargetMode="External"/><Relationship Id="rId947" Type="http://schemas.openxmlformats.org/officeDocument/2006/relationships/hyperlink" Target="https://pbs.twimg.com/media/DskzHyXU0AE8o54.jpg" TargetMode="External"/><Relationship Id="rId1132" Type="http://schemas.openxmlformats.org/officeDocument/2006/relationships/hyperlink" Target="http://facebook.com/Carmendelia.Ferrer" TargetMode="External"/><Relationship Id="rId1577" Type="http://schemas.openxmlformats.org/officeDocument/2006/relationships/hyperlink" Target="http://bit.ly/2A7mB5M" TargetMode="External"/><Relationship Id="rId1784" Type="http://schemas.openxmlformats.org/officeDocument/2006/relationships/hyperlink" Target="https://www.eljueves.es/news/pablo-casado-propone-invadir-polonia-para-hacer-espana-mas-grande_2959" TargetMode="External"/><Relationship Id="rId1991" Type="http://schemas.openxmlformats.org/officeDocument/2006/relationships/hyperlink" Target="https://pbs.twimg.com/media/DsOsvfcXQAY1IN8.jpg" TargetMode="External"/><Relationship Id="rId2628"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835" Type="http://schemas.openxmlformats.org/officeDocument/2006/relationships/hyperlink" Target="https://www.eldiario.es/_31e00b39" TargetMode="External"/><Relationship Id="rId76" Type="http://schemas.openxmlformats.org/officeDocument/2006/relationships/hyperlink" Target="http://ferransalacasasampere.blogspot.com.es/" TargetMode="External"/><Relationship Id="rId807" Type="http://schemas.openxmlformats.org/officeDocument/2006/relationships/hyperlink" Target="http://eldiario.es/" TargetMode="External"/><Relationship Id="rId1437" Type="http://schemas.openxmlformats.org/officeDocument/2006/relationships/hyperlink" Target="https://estonoesunachapa.wordpress.com/" TargetMode="External"/><Relationship Id="rId1644" Type="http://schemas.openxmlformats.org/officeDocument/2006/relationships/hyperlink" Target="https://ift.tt/2OQcQyk" TargetMode="External"/><Relationship Id="rId1851" Type="http://schemas.openxmlformats.org/officeDocument/2006/relationships/hyperlink" Target="http://ow.ly/x3bm30mFHL4" TargetMode="External"/><Relationship Id="rId2902"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1504" Type="http://schemas.openxmlformats.org/officeDocument/2006/relationships/hyperlink" Target="http://dlvr.it/Qrh2dR" TargetMode="External"/><Relationship Id="rId1711"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1949" Type="http://schemas.openxmlformats.org/officeDocument/2006/relationships/hyperlink" Target="https://pbs.twimg.com/media/DsYkkLHXgAALujT.jpg" TargetMode="External"/><Relationship Id="rId292" Type="http://schemas.openxmlformats.org/officeDocument/2006/relationships/hyperlink" Target="https://www.eldiario.es/politica/Pablo-Casado-exaltacion-franquismo-probidida_0_838516217.html" TargetMode="External"/><Relationship Id="rId1809" Type="http://schemas.openxmlformats.org/officeDocument/2006/relationships/hyperlink" Target="https://pbs.twimg.com/media/DsZYgHkX4AEp0Az.jpg" TargetMode="External"/><Relationship Id="rId597" Type="http://schemas.openxmlformats.org/officeDocument/2006/relationships/hyperlink" Target="http://www.vamcyborg.com/" TargetMode="External"/><Relationship Id="rId2180" Type="http://schemas.openxmlformats.org/officeDocument/2006/relationships/hyperlink" Target="http://www.linkedin.com/in/frubira" TargetMode="External"/><Relationship Id="rId2278" Type="http://schemas.openxmlformats.org/officeDocument/2006/relationships/hyperlink" Target="https://www.eldiario.es/_31e5622c" TargetMode="External"/><Relationship Id="rId2485" Type="http://schemas.openxmlformats.org/officeDocument/2006/relationships/hyperlink" Target="https://twitter.com/al3reap/status/1055271781228036096" TargetMode="External"/><Relationship Id="rId152" Type="http://schemas.openxmlformats.org/officeDocument/2006/relationships/hyperlink" Target="https://www.eldiario.es/escolar/Pablo-Casado-Poder-Judicial-Cosido_6_838576166.html" TargetMode="External"/><Relationship Id="rId457" Type="http://schemas.openxmlformats.org/officeDocument/2006/relationships/hyperlink" Target="http://lagacetadealmeria.es/pablo-casado-visita-la-provincia-de-almeria/" TargetMode="External"/><Relationship Id="rId1087" Type="http://schemas.openxmlformats.org/officeDocument/2006/relationships/hyperlink" Target="https://pbs.twimg.com/media/DsiixcBWoAA3Cj0.jpg" TargetMode="External"/><Relationship Id="rId1294" Type="http://schemas.openxmlformats.org/officeDocument/2006/relationships/hyperlink" Target="https://www.elplural.com/opinion/los-calvitos/pablo-casado-el-gracioso_206717102" TargetMode="External"/><Relationship Id="rId2040" Type="http://schemas.openxmlformats.org/officeDocument/2006/relationships/hyperlink" Target="http://cherinola-cherinolasweb.blogspot.com/" TargetMode="External"/><Relationship Id="rId2138" Type="http://schemas.openxmlformats.org/officeDocument/2006/relationships/hyperlink" Target="http://alcantarillasocial.com/author/sinelo1968/" TargetMode="External"/><Relationship Id="rId2692" Type="http://schemas.openxmlformats.org/officeDocument/2006/relationships/hyperlink" Target="https://www.elmundo.es/andalucia/2018/11/18/5bf1600fe2704ed9718b45f0.html" TargetMode="External"/><Relationship Id="rId664" Type="http://schemas.openxmlformats.org/officeDocument/2006/relationships/hyperlink" Target="https://www.eldiario.es/_31fabdf9" TargetMode="External"/><Relationship Id="rId871" Type="http://schemas.openxmlformats.org/officeDocument/2006/relationships/hyperlink" Target="http://www.huffingtonpost.es/" TargetMode="External"/><Relationship Id="rId969" Type="http://schemas.openxmlformats.org/officeDocument/2006/relationships/hyperlink" Target="http://republica-catalunya-dignidad.cat/" TargetMode="External"/><Relationship Id="rId1599" Type="http://schemas.openxmlformats.org/officeDocument/2006/relationships/hyperlink" Target="https://truenewsd.com/" TargetMode="External"/><Relationship Id="rId2345" Type="http://schemas.openxmlformats.org/officeDocument/2006/relationships/hyperlink" Target="https://www.elplural.com/politica/el-juez-senador-del-pp-compro-una-finca-de-3-941-metros-cuadrados-por-676-euros_206521102" TargetMode="External"/><Relationship Id="rId2552" Type="http://schemas.openxmlformats.org/officeDocument/2006/relationships/hyperlink" Target="https://www.elnacional.cat/ca/politica/pablo-casado-exhuma-retorica-franquista-reclama-gibraltar-espanyol_325791_102.html" TargetMode="External"/><Relationship Id="rId317" Type="http://schemas.openxmlformats.org/officeDocument/2006/relationships/hyperlink" Target="https://www.eldiario.es/_31fba826" TargetMode="External"/><Relationship Id="rId524" Type="http://schemas.openxmlformats.org/officeDocument/2006/relationships/hyperlink" Target="http://www.tribunaavila.com/" TargetMode="External"/><Relationship Id="rId731" Type="http://schemas.openxmlformats.org/officeDocument/2006/relationships/hyperlink" Target="https://pbs.twimg.com/media/DshXoxNUUAAn0MW.jpg" TargetMode="External"/><Relationship Id="rId1154" Type="http://schemas.openxmlformats.org/officeDocument/2006/relationships/hyperlink" Target="http://politica.elpais.com/" TargetMode="External"/><Relationship Id="rId1361" Type="http://schemas.openxmlformats.org/officeDocument/2006/relationships/hyperlink" Target="http://elregresodejuandemairena.blogspot.com.es/" TargetMode="External"/><Relationship Id="rId1459" Type="http://schemas.openxmlformats.org/officeDocument/2006/relationships/hyperlink" Target="https://pbs.twimg.com/media/DsdQI2eW0AA2KyS.jpg" TargetMode="External"/><Relationship Id="rId2205" Type="http://schemas.openxmlformats.org/officeDocument/2006/relationships/hyperlink" Target="https://www.ecorepublicano.es/2018/09/pablo-casado-admite-que-comio-con.html" TargetMode="External"/><Relationship Id="rId2412" Type="http://schemas.openxmlformats.org/officeDocument/2006/relationships/hyperlink" Target="https://pbs.twimg.com/media/DsUEGNLXcAMti6n.jpg" TargetMode="External"/><Relationship Id="rId2857" Type="http://schemas.openxmlformats.org/officeDocument/2006/relationships/hyperlink" Target="http://luislasala07.blogspot.com/" TargetMode="External"/><Relationship Id="rId98" Type="http://schemas.openxmlformats.org/officeDocument/2006/relationships/hyperlink" Target="https://www.eldiario.es/_31fba826" TargetMode="External"/><Relationship Id="rId829" Type="http://schemas.openxmlformats.org/officeDocument/2006/relationships/hyperlink" Target="http://atres.red/1wm6e4" TargetMode="External"/><Relationship Id="rId1014" Type="http://schemas.openxmlformats.org/officeDocument/2006/relationships/hyperlink" Target="https://pbs.twimg.com/media/DsjbrZFXQAAC5cD.jpg" TargetMode="External"/><Relationship Id="rId1221" Type="http://schemas.openxmlformats.org/officeDocument/2006/relationships/hyperlink" Target="http://diario16.com/cosido-me-siento-plenamente-respaldado-pablo-casado/" TargetMode="External"/><Relationship Id="rId1666" Type="http://schemas.openxmlformats.org/officeDocument/2006/relationships/hyperlink" Target="https://www.asesorfinancieropersonal.com/" TargetMode="External"/><Relationship Id="rId1873" Type="http://schemas.openxmlformats.org/officeDocument/2006/relationships/hyperlink" Target="http://www.salvadorescalona.es/" TargetMode="External"/><Relationship Id="rId2717" Type="http://schemas.openxmlformats.org/officeDocument/2006/relationships/hyperlink" Target="https://www.huffingtonpost.es/2018/11/17/pablo-casado-los-espanoles-no-colonizabamos-lo-que-haciamos-era-tener-una-espana-mas-grande_a_23592393/" TargetMode="External"/><Relationship Id="rId2924" Type="http://schemas.openxmlformats.org/officeDocument/2006/relationships/hyperlink" Target="http://catalananalyst.blogspot.com.es/" TargetMode="External"/><Relationship Id="rId1319" Type="http://schemas.openxmlformats.org/officeDocument/2006/relationships/hyperlink" Target="http://cataladigital.cat/" TargetMode="External"/><Relationship Id="rId1526" Type="http://schemas.openxmlformats.org/officeDocument/2006/relationships/hyperlink" Target="http://www.elmundotoday.com/" TargetMode="External"/><Relationship Id="rId1733" Type="http://schemas.openxmlformats.org/officeDocument/2006/relationships/hyperlink" Target="https://es.m.wikipedia.org/wiki/Campana_de_Huesca" TargetMode="External"/><Relationship Id="rId1940" Type="http://schemas.openxmlformats.org/officeDocument/2006/relationships/hyperlink" Target="http://es-la.facebook.com/cecilio.castro.777" TargetMode="External"/><Relationship Id="rId25" Type="http://schemas.openxmlformats.org/officeDocument/2006/relationships/hyperlink" Target="http://rafaelfiglesias.wordpress.com/" TargetMode="External"/><Relationship Id="rId1800" Type="http://schemas.openxmlformats.org/officeDocument/2006/relationships/hyperlink" Target="https://evastasia.tumblr.com/" TargetMode="External"/><Relationship Id="rId174" Type="http://schemas.openxmlformats.org/officeDocument/2006/relationships/hyperlink" Target="http://pic.twitter.com/3iTSF2NP4c" TargetMode="External"/><Relationship Id="rId381" Type="http://schemas.openxmlformats.org/officeDocument/2006/relationships/hyperlink" Target="http://www.siniestro.com/" TargetMode="External"/><Relationship Id="rId2062" Type="http://schemas.openxmlformats.org/officeDocument/2006/relationships/hyperlink" Target="http://www.librediariodigital.net/texto-diario/mostrar/1207785/pablo-casado-hare-posible-impedir-salario-minimo-interprofesional-suba-900-euros" TargetMode="External"/><Relationship Id="rId241" Type="http://schemas.openxmlformats.org/officeDocument/2006/relationships/hyperlink" Target="https://m.eldiario.es/_31fabdf9" TargetMode="External"/><Relationship Id="rId479" Type="http://schemas.openxmlformats.org/officeDocument/2006/relationships/hyperlink" Target="https://www.eldiario.es/escolar/Pablo-Casado-Poder-Judicial-Cosido_6_838576166.html" TargetMode="External"/><Relationship Id="rId686" Type="http://schemas.openxmlformats.org/officeDocument/2006/relationships/hyperlink" Target="http://pic.twitter.com/Hx57IGBhdv" TargetMode="External"/><Relationship Id="rId893" Type="http://schemas.openxmlformats.org/officeDocument/2006/relationships/hyperlink" Target="https://m.eldiario.es/politica/Partido-Popular-reventar-negociacion-CGPJ_0_838167069.html" TargetMode="External"/><Relationship Id="rId2367" Type="http://schemas.openxmlformats.org/officeDocument/2006/relationships/hyperlink" Target="https://pbs.twimg.com/media/DsUanKrWsAISGXO.jpg" TargetMode="External"/><Relationship Id="rId2574" Type="http://schemas.openxmlformats.org/officeDocument/2006/relationships/hyperlink" Target="http://elcorreoweb.es/" TargetMode="External"/><Relationship Id="rId2781" Type="http://schemas.openxmlformats.org/officeDocument/2006/relationships/hyperlink" Target="https://www.facebook.com/nuevasgeneraciones.calahorra/posts/919063584931058" TargetMode="External"/><Relationship Id="rId339" Type="http://schemas.openxmlformats.org/officeDocument/2006/relationships/hyperlink" Target="https://m.eldiario.es/_31fba826" TargetMode="External"/><Relationship Id="rId546" Type="http://schemas.openxmlformats.org/officeDocument/2006/relationships/hyperlink" Target="https://youtu.be/jybqW6AZOQ0" TargetMode="External"/><Relationship Id="rId753" Type="http://schemas.openxmlformats.org/officeDocument/2006/relationships/hyperlink" Target="http://www.danielvelasco.net/" TargetMode="External"/><Relationship Id="rId1176" Type="http://schemas.openxmlformats.org/officeDocument/2006/relationships/hyperlink" Target="https://www.ecorepublicano.es/2018/11/anabel-alonso-destroza-pablo-casado-en.html" TargetMode="External"/><Relationship Id="rId1383" Type="http://schemas.openxmlformats.org/officeDocument/2006/relationships/hyperlink" Target="https://pbs.twimg.com/media/DseOcIlWkAAc8V9.jpg" TargetMode="External"/><Relationship Id="rId2227" Type="http://schemas.openxmlformats.org/officeDocument/2006/relationships/hyperlink" Target="https://www.elmundo.es/comunidad-valenciana/2018/11/18/5bf04d64ca4741a2148b45ab.html" TargetMode="External"/><Relationship Id="rId2434" Type="http://schemas.openxmlformats.org/officeDocument/2006/relationships/hyperlink" Target="http://shr.gs/WJjPhZi" TargetMode="External"/><Relationship Id="rId2879" Type="http://schemas.openxmlformats.org/officeDocument/2006/relationships/hyperlink" Target="https://www.lapandereta.es/la-nueva-metedura-de-pata-de-pablo-casado-nadie-habla-bable-en-asturias-asi-ha-respondido-twitter/" TargetMode="External"/><Relationship Id="rId101" Type="http://schemas.openxmlformats.org/officeDocument/2006/relationships/hyperlink" Target="https://www.eldiario.es/escolar/Pablo-Casado-Poder-Judicial-Cosido_6_838576166.html" TargetMode="External"/><Relationship Id="rId406" Type="http://schemas.openxmlformats.org/officeDocument/2006/relationships/hyperlink" Target="https://pbs.twimg.com/media/DsoxLdfV4AAMkZL.jpg" TargetMode="External"/><Relationship Id="rId960" Type="http://schemas.openxmlformats.org/officeDocument/2006/relationships/hyperlink" Target="http://diario6.com/pablo-casado-el-hombre-que-cobra-1-842-euros-en-dietas-por-ser-diputado-por-avila-pero-que-vive-y-vota-en-madrid/" TargetMode="External"/><Relationship Id="rId1036" Type="http://schemas.openxmlformats.org/officeDocument/2006/relationships/hyperlink" Target="http://www.europapress.es/" TargetMode="External"/><Relationship Id="rId1243" Type="http://schemas.openxmlformats.org/officeDocument/2006/relationships/hyperlink" Target="http://telemd.es/vfg3i2" TargetMode="External"/><Relationship Id="rId1590" Type="http://schemas.openxmlformats.org/officeDocument/2006/relationships/hyperlink" Target="https://ift.tt/2BkIYX8" TargetMode="External"/><Relationship Id="rId1688" Type="http://schemas.openxmlformats.org/officeDocument/2006/relationships/hyperlink" Target="http://www.eitb.eus/es/radio/radio-euskadi/programas/boulevard/" TargetMode="External"/><Relationship Id="rId1895" Type="http://schemas.openxmlformats.org/officeDocument/2006/relationships/hyperlink" Target="http://www.juanbcn.net/" TargetMode="External"/><Relationship Id="rId2641"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739" Type="http://schemas.openxmlformats.org/officeDocument/2006/relationships/hyperlink" Target="http://www.radiorute.com/" TargetMode="External"/><Relationship Id="rId2946" Type="http://schemas.openxmlformats.org/officeDocument/2006/relationships/hyperlink" Target="http://www.huffingtonpost.es/" TargetMode="External"/><Relationship Id="rId613" Type="http://schemas.openxmlformats.org/officeDocument/2006/relationships/hyperlink" Target="http://www.abc.es/" TargetMode="External"/><Relationship Id="rId820" Type="http://schemas.openxmlformats.org/officeDocument/2006/relationships/hyperlink" Target="https://www.huffingtonpost.es/2018/11/22/tension-entre-pepa-bueno-y-pablo-casado-desde-esperanza-aguirre-no-he-tenido-tantas-dificultades-para-hacer-preguntas_a_23596803/" TargetMode="External"/><Relationship Id="rId918" Type="http://schemas.openxmlformats.org/officeDocument/2006/relationships/hyperlink" Target="http://pic.twitter.com/O8sptlmlic" TargetMode="External"/><Relationship Id="rId1450" Type="http://schemas.openxmlformats.org/officeDocument/2006/relationships/hyperlink" Target="http://30dediferencia.com/" TargetMode="External"/><Relationship Id="rId1548" Type="http://schemas.openxmlformats.org/officeDocument/2006/relationships/hyperlink" Target="https://www.elconfidencialdigital.com/articulo/politica/pablo-casado/20181119193601118311.html" TargetMode="External"/><Relationship Id="rId1755" Type="http://schemas.openxmlformats.org/officeDocument/2006/relationships/hyperlink" Target="https://nuevarevolucion.es/poesia-critica-coplas-de-mingo-revulgo-o-de-como-pablo-casado-logro-doblegar-la-naturaleza/" TargetMode="External"/><Relationship Id="rId2501" Type="http://schemas.openxmlformats.org/officeDocument/2006/relationships/hyperlink" Target="http://www.guerraeterna.com/pablo-casado-contra-la-historia/" TargetMode="External"/><Relationship Id="rId1103" Type="http://schemas.openxmlformats.org/officeDocument/2006/relationships/hyperlink" Target="https://www.eleconomista.es/politica/noticias/9533559/11/18/Casado-fusila-la-ley-de-1980-en-su-enmienda-sobre-el-nombramiento-del-CGPJ-sin-eliminar-los-anacronismos.html" TargetMode="External"/><Relationship Id="rId1310" Type="http://schemas.openxmlformats.org/officeDocument/2006/relationships/hyperlink" Target="http://ow.ly/nshC30mGX7h" TargetMode="External"/><Relationship Id="rId1408" Type="http://schemas.openxmlformats.org/officeDocument/2006/relationships/hyperlink" Target="http://www.radiocartaya.es/2018/11/cartaya-pablo-casado-apoya-a-juanma-moreno-de-cara-al-2d/" TargetMode="External"/><Relationship Id="rId1962" Type="http://schemas.openxmlformats.org/officeDocument/2006/relationships/hyperlink" Target="http://www.larealidad23.wordpress.com/" TargetMode="External"/><Relationship Id="rId2806"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47" Type="http://schemas.openxmlformats.org/officeDocument/2006/relationships/hyperlink" Target="http://instagram.com/emiliocabrera7" TargetMode="External"/><Relationship Id="rId1615" Type="http://schemas.openxmlformats.org/officeDocument/2006/relationships/hyperlink" Target="http://www.pressdigital.es/" TargetMode="External"/><Relationship Id="rId1822" Type="http://schemas.openxmlformats.org/officeDocument/2006/relationships/hyperlink" Target="http://youtu.be/WbcOau_ZpBA?a" TargetMode="External"/><Relationship Id="rId196" Type="http://schemas.openxmlformats.org/officeDocument/2006/relationships/hyperlink" Target="https://www.eldiario.es/_31fba826" TargetMode="External"/><Relationship Id="rId2084" Type="http://schemas.openxmlformats.org/officeDocument/2006/relationships/hyperlink" Target="http://www.pueblooriginario.com.ar/" TargetMode="External"/><Relationship Id="rId2291" Type="http://schemas.openxmlformats.org/officeDocument/2006/relationships/hyperlink" Target="https://www.youtube.com/attribution_link?a=oxtyEset-oY&amp;u=%2Fwatch%3Fv%3Dx3y5KhIJ9gg%26feature%3Dshare" TargetMode="External"/><Relationship Id="rId263" Type="http://schemas.openxmlformats.org/officeDocument/2006/relationships/hyperlink" Target="https://pbs.twimg.com/media/DsrGNLXWoAEgJ-j.png" TargetMode="External"/><Relationship Id="rId470" Type="http://schemas.openxmlformats.org/officeDocument/2006/relationships/hyperlink" Target="https://www.facebook.com/FuegoSubversivo" TargetMode="External"/><Relationship Id="rId2151" Type="http://schemas.openxmlformats.org/officeDocument/2006/relationships/hyperlink" Target="https://pbs.twimg.com/media/DsW-ISuW0AEi6U3.jpg" TargetMode="External"/><Relationship Id="rId2389" Type="http://schemas.openxmlformats.org/officeDocument/2006/relationships/hyperlink" Target="http://www.guerraeterna.com/pablo-casado-contra-la-historia/" TargetMode="External"/><Relationship Id="rId2596" Type="http://schemas.openxmlformats.org/officeDocument/2006/relationships/hyperlink" Target="https://m.eldiario.es/_2eaf053c" TargetMode="External"/><Relationship Id="rId123" Type="http://schemas.openxmlformats.org/officeDocument/2006/relationships/hyperlink" Target="https://www.cuartopoder.es/ideas/2018/08/05/pablo-casado-impuesto-sucesiones-ideologia-millonario/" TargetMode="External"/><Relationship Id="rId330" Type="http://schemas.openxmlformats.org/officeDocument/2006/relationships/hyperlink" Target="https://www.eldiario.es/_31fba826" TargetMode="External"/><Relationship Id="rId568" Type="http://schemas.openxmlformats.org/officeDocument/2006/relationships/hyperlink" Target="https://www.huffingtonpost.es/2018/11/16/chato-victima-del-franquismo-el-psoe-ha-gobernado-mientras-habia-militantes-suyos-en-las-fosas_a_23590576/?ncid=other_twitter_cooo9wqtham&amp;utm_campaign=share_twitter" TargetMode="External"/><Relationship Id="rId775" Type="http://schemas.openxmlformats.org/officeDocument/2006/relationships/hyperlink" Target="https://www.eldiario.es/politica/Pablo-Casado-exaltacion-franquismo-probidida_0_838516217.html" TargetMode="External"/><Relationship Id="rId982" Type="http://schemas.openxmlformats.org/officeDocument/2006/relationships/hyperlink" Target="https://www.libertaddigital.com/espana/2018-11-21/pedro-sanchez-pide-a-casado-y-rufian-que-pidan-discupas-por-el-escupitajo-de-erc-a-borell-1276628638/" TargetMode="External"/><Relationship Id="rId1198" Type="http://schemas.openxmlformats.org/officeDocument/2006/relationships/hyperlink" Target="https://www.elplural.com/opinion/los-calvitos/pablo-casado-el-gracioso_206717102" TargetMode="External"/><Relationship Id="rId2011" Type="http://schemas.openxmlformats.org/officeDocument/2006/relationships/hyperlink" Target="http://www.meneame.net/c/25749060" TargetMode="External"/><Relationship Id="rId2249" Type="http://schemas.openxmlformats.org/officeDocument/2006/relationships/hyperlink" Target="https://www.eldiario.es/politica/Casado-Andalucia-candidato-Juanma-Moreno_0_837116686.html" TargetMode="External"/><Relationship Id="rId2456" Type="http://schemas.openxmlformats.org/officeDocument/2006/relationships/hyperlink" Target="http://www.cope.es/" TargetMode="External"/><Relationship Id="rId2663" Type="http://schemas.openxmlformats.org/officeDocument/2006/relationships/hyperlink" Target="https://15m20.org/" TargetMode="External"/><Relationship Id="rId2870" Type="http://schemas.openxmlformats.org/officeDocument/2006/relationships/hyperlink" Target="https://amp.lasexta.com/noticias/nacional/elecciones-andalucia/pablo-casado-se-apunta-al-revisionismo-historico-nosotros-no-colonizabamos-lo-que-haciamos-era-tener-una-espana-mas-grande-video_201811175bf050940cf288806d386365.html?__twitter_impression=true" TargetMode="External"/><Relationship Id="rId428" Type="http://schemas.openxmlformats.org/officeDocument/2006/relationships/hyperlink" Target="https://pbs.twimg.com/media/DsoteRRV4AAO1jd.jpg" TargetMode="External"/><Relationship Id="rId635" Type="http://schemas.openxmlformats.org/officeDocument/2006/relationships/hyperlink" Target="https://pbs.twimg.com/media/DsnneKcU8AATDIH.jpg" TargetMode="External"/><Relationship Id="rId842" Type="http://schemas.openxmlformats.org/officeDocument/2006/relationships/hyperlink" Target="https://www.facebook.com/1635893986/posts/10215624476158394/" TargetMode="External"/><Relationship Id="rId1058" Type="http://schemas.openxmlformats.org/officeDocument/2006/relationships/hyperlink" Target="http://pic.twitter.com/ZsdOul5qRv" TargetMode="External"/><Relationship Id="rId1265" Type="http://schemas.openxmlformats.org/officeDocument/2006/relationships/hyperlink" Target="https://www.vozpopuli.com/opinion/aznar-santamaria-feijoo_0_1192680987.html" TargetMode="External"/><Relationship Id="rId1472" Type="http://schemas.openxmlformats.org/officeDocument/2006/relationships/hyperlink" Target="https://albertosotillos.com/mejor-no-saberlo/" TargetMode="External"/><Relationship Id="rId2109" Type="http://schemas.openxmlformats.org/officeDocument/2006/relationships/hyperlink" Target="http://diario16.com/denunciado-fiscal-pidio-archivo-del-caso-master-pablo-casado/" TargetMode="External"/><Relationship Id="rId2316" Type="http://schemas.openxmlformats.org/officeDocument/2006/relationships/hyperlink" Target="https://www.veoinfo.com/steve-bannon-anuncia-su-fichaje-por-viktor-orban-aliado-europeo-de-pablo-casado/" TargetMode="External"/><Relationship Id="rId2523" Type="http://schemas.openxmlformats.org/officeDocument/2006/relationships/hyperlink" Target="https://www.lavanguardia.com/politica/20181118/453010973750/pablo-casado-nuevo-155-catalunya-andalucia-ilegalizar-cup.html" TargetMode="External"/><Relationship Id="rId2730" Type="http://schemas.openxmlformats.org/officeDocument/2006/relationships/hyperlink" Target="https://truenewsd.com/" TargetMode="External"/><Relationship Id="rId2968" Type="http://schemas.openxmlformats.org/officeDocument/2006/relationships/hyperlink" Target="https://www.lasprovincias.es/politica/isabel-torres-mujer-pablo-casado-20180721183300-nt.html" TargetMode="External"/><Relationship Id="rId702" Type="http://schemas.openxmlformats.org/officeDocument/2006/relationships/hyperlink" Target="http://go.squidapp.co/n/E4KPnUn" TargetMode="External"/><Relationship Id="rId1125" Type="http://schemas.openxmlformats.org/officeDocument/2006/relationships/hyperlink" Target="http://es-la.facebook.com/cecilio.castro.777" TargetMode="External"/><Relationship Id="rId1332" Type="http://schemas.openxmlformats.org/officeDocument/2006/relationships/hyperlink" Target="https://twitter.com/Re_conecta/status/1064861137743855616" TargetMode="External"/><Relationship Id="rId1777" Type="http://schemas.openxmlformats.org/officeDocument/2006/relationships/hyperlink" Target="https://goo.gl/Bv9f52" TargetMode="External"/><Relationship Id="rId1984" Type="http://schemas.openxmlformats.org/officeDocument/2006/relationships/hyperlink" Target="http://esradio.libertaddigital.com/es-la-tarde-de-dieter/" TargetMode="External"/><Relationship Id="rId2828" Type="http://schemas.openxmlformats.org/officeDocument/2006/relationships/hyperlink" Target="https://polisclasica.blogspot.com.es/" TargetMode="External"/><Relationship Id="rId69" Type="http://schemas.openxmlformats.org/officeDocument/2006/relationships/hyperlink" Target="https://www.eldiario.es/_31fabdf9" TargetMode="External"/><Relationship Id="rId1637" Type="http://schemas.openxmlformats.org/officeDocument/2006/relationships/hyperlink" Target="https://stopsucesiones.org/%f0%9f%9b%91el-presidente-del-partido-popular-pablo-casado-se-compromete-con-stop-sucesiones-a-suprimir-el-impuesto-a-las-herencias-en-toda-espana/" TargetMode="External"/><Relationship Id="rId1844" Type="http://schemas.openxmlformats.org/officeDocument/2006/relationships/hyperlink" Target="https://twitter.com/Newtral/status/1064622128576831488" TargetMode="External"/><Relationship Id="rId1704" Type="http://schemas.openxmlformats.org/officeDocument/2006/relationships/hyperlink" Target="https://pbs.twimg.com/media/Dsbc60fXcAAG1t9.jpg" TargetMode="External"/><Relationship Id="rId285" Type="http://schemas.openxmlformats.org/officeDocument/2006/relationships/hyperlink" Target="http://eldiario.es/" TargetMode="External"/><Relationship Id="rId1911" Type="http://schemas.openxmlformats.org/officeDocument/2006/relationships/hyperlink" Target="https://twitter.com/Zalagardera/status/1064597772761030656" TargetMode="External"/><Relationship Id="rId492" Type="http://schemas.openxmlformats.org/officeDocument/2006/relationships/hyperlink" Target="http://goo.gl/alerts/uUUNZ" TargetMode="External"/><Relationship Id="rId797" Type="http://schemas.openxmlformats.org/officeDocument/2006/relationships/hyperlink" Target="http://pic.twitter.com/a331IEKjSC" TargetMode="External"/><Relationship Id="rId2173" Type="http://schemas.openxmlformats.org/officeDocument/2006/relationships/hyperlink" Target="https://www.facebook.com/AgorasEnLasPlazasasambleaabierta/" TargetMode="External"/><Relationship Id="rId2380" Type="http://schemas.openxmlformats.org/officeDocument/2006/relationships/hyperlink" Target="http://shr.gs/WJjPhZi" TargetMode="External"/><Relationship Id="rId2478" Type="http://schemas.openxmlformats.org/officeDocument/2006/relationships/hyperlink" Target="https://www.elmundo.es/andalucia/2018/11/18/5bf1600fe2704ed9718b45f0.html" TargetMode="External"/><Relationship Id="rId145" Type="http://schemas.openxmlformats.org/officeDocument/2006/relationships/hyperlink" Target="https://m.eldiario.es/politica/Pablo-Casado-exaltacion-franquismo-probidida_0_838516217.amp.html" TargetMode="External"/><Relationship Id="rId352" Type="http://schemas.openxmlformats.org/officeDocument/2006/relationships/hyperlink" Target="http://jcomorera.blogspot.com.es/" TargetMode="External"/><Relationship Id="rId1287" Type="http://schemas.openxmlformats.org/officeDocument/2006/relationships/hyperlink" Target="https://pbs.twimg.com/media/DsgkEb6W0AAiF3C.jpg" TargetMode="External"/><Relationship Id="rId2033" Type="http://schemas.openxmlformats.org/officeDocument/2006/relationships/hyperlink" Target="https://www.eljueves.es/news/pablo-casado-propone-invadir-polonia-para-hacer-espana-mas-grande_2959" TargetMode="External"/><Relationship Id="rId2240" Type="http://schemas.openxmlformats.org/officeDocument/2006/relationships/hyperlink" Target="https://www.elmundo.es/andalucia/2018/11/19/5bf1c941268e3e13678b459f.html" TargetMode="External"/><Relationship Id="rId2685" Type="http://schemas.openxmlformats.org/officeDocument/2006/relationships/hyperlink" Target="https://www.lavanguardia.com/politica/20181118/453010973750/pablo-casado-nuevo-155-catalunya-andalucia-ilegalizar-cup.html" TargetMode="External"/><Relationship Id="rId2892" Type="http://schemas.openxmlformats.org/officeDocument/2006/relationships/hyperlink" Target="https://pbs.twimg.com/media/DsRn4GOXgAE__vc.jpg" TargetMode="External"/><Relationship Id="rId212" Type="http://schemas.openxmlformats.org/officeDocument/2006/relationships/hyperlink" Target="http://pic.twitter.com/RnZsES9Cp3" TargetMode="External"/><Relationship Id="rId657" Type="http://schemas.openxmlformats.org/officeDocument/2006/relationships/hyperlink" Target="https://www.facebook.com/pages/Soy-El-Mazo-Con-El-Que-Te-Dan-Antes-De-Desembarcar/462507190474848?re" TargetMode="External"/><Relationship Id="rId864" Type="http://schemas.openxmlformats.org/officeDocument/2006/relationships/hyperlink" Target="https://madridtemata.tumblr.com/" TargetMode="External"/><Relationship Id="rId1494" Type="http://schemas.openxmlformats.org/officeDocument/2006/relationships/hyperlink" Target="http://diario16.com/cosido-me-siento-plenamente-respaldado-pablo-casado/" TargetMode="External"/><Relationship Id="rId1799" Type="http://schemas.openxmlformats.org/officeDocument/2006/relationships/hyperlink" Target="https://pbs.twimg.com/media/DsMzLubW0AA5nkt.jpg" TargetMode="External"/><Relationship Id="rId2100" Type="http://schemas.openxmlformats.org/officeDocument/2006/relationships/hyperlink" Target="http://diario16.com/denunciado-fiscal-pidio-archivo-del-caso-master-pablo-casado/" TargetMode="External"/><Relationship Id="rId2338" Type="http://schemas.openxmlformats.org/officeDocument/2006/relationships/hyperlink" Target="http://www.hechosdehoy.com/" TargetMode="External"/><Relationship Id="rId2545" Type="http://schemas.openxmlformats.org/officeDocument/2006/relationships/hyperlink" Target="http://pradoalberdi.wordpress.com/" TargetMode="External"/><Relationship Id="rId2752" Type="http://schemas.openxmlformats.org/officeDocument/2006/relationships/hyperlink" Target="http://www.guerraeterna.com/pablo-casado-contra-la-historia/" TargetMode="External"/><Relationship Id="rId517" Type="http://schemas.openxmlformats.org/officeDocument/2006/relationships/hyperlink" Target="http://www.lasexta.com/noticias/" TargetMode="External"/><Relationship Id="rId724" Type="http://schemas.openxmlformats.org/officeDocument/2006/relationships/hyperlink" Target="http://www.cambio16.com/" TargetMode="External"/><Relationship Id="rId931" Type="http://schemas.openxmlformats.org/officeDocument/2006/relationships/hyperlink" Target="https://bit.ly/2R3Ilqn" TargetMode="External"/><Relationship Id="rId1147" Type="http://schemas.openxmlformats.org/officeDocument/2006/relationships/hyperlink" Target="http://instagram.com/javierdv1996" TargetMode="External"/><Relationship Id="rId1354" Type="http://schemas.openxmlformats.org/officeDocument/2006/relationships/hyperlink" Target="https://www.elmundotoday.com/2018/11/pedro-sanchez-y-pablo-casado-trabajaran-como-jueces-por-las-tardes-mientras-no-se-escoja-a-un-nuevo-presidente-del-poder-judicial/" TargetMode="External"/><Relationship Id="rId1561" Type="http://schemas.openxmlformats.org/officeDocument/2006/relationships/hyperlink" Target="https://okdiario.com/espana/2018/11/20/casado-alerta-peligros-del-populismo-pone-como-ejemplo-lo-rapido-que-llego-venezuela-3371105" TargetMode="External"/><Relationship Id="rId2405" Type="http://schemas.openxmlformats.org/officeDocument/2006/relationships/hyperlink" Target="https://pbs.twimg.com/media/DsUIEMDXgAUVEpx.jpg" TargetMode="External"/><Relationship Id="rId2612" Type="http://schemas.openxmlformats.org/officeDocument/2006/relationships/hyperlink" Target="https://pbs.twimg.com/media/DsS8ZpAWoAAFo26.jpg" TargetMode="External"/><Relationship Id="rId60" Type="http://schemas.openxmlformats.org/officeDocument/2006/relationships/hyperlink" Target="http://page.is/eduardo-leiva" TargetMode="External"/><Relationship Id="rId1007" Type="http://schemas.openxmlformats.org/officeDocument/2006/relationships/hyperlink" Target="http://foros.foxinver.com/" TargetMode="External"/><Relationship Id="rId1214" Type="http://schemas.openxmlformats.org/officeDocument/2006/relationships/hyperlink" Target="https://www.linkedin.com/in/rocio-nunez-carrasco/" TargetMode="External"/><Relationship Id="rId1421" Type="http://schemas.openxmlformats.org/officeDocument/2006/relationships/hyperlink" Target="http://pic.twitter.com/ubUHpkzfXL" TargetMode="External"/><Relationship Id="rId1659" Type="http://schemas.openxmlformats.org/officeDocument/2006/relationships/hyperlink" Target="https://www.eljueves.es/news/pablo-casado-propone-invadir-polonia-para-hacer-espana-mas-grande_2959" TargetMode="External"/><Relationship Id="rId1866" Type="http://schemas.openxmlformats.org/officeDocument/2006/relationships/hyperlink" Target="http://driftwood.librodenotas.com/" TargetMode="External"/><Relationship Id="rId2917" Type="http://schemas.openxmlformats.org/officeDocument/2006/relationships/hyperlink" Target="https://twitter.com/juandepca/status/1063573187957612545" TargetMode="External"/><Relationship Id="rId1519" Type="http://schemas.openxmlformats.org/officeDocument/2006/relationships/hyperlink" Target="http://diario16.com/cosido-me-siento-plenamente-respaldado-pablo-casado/" TargetMode="External"/><Relationship Id="rId1726" Type="http://schemas.openxmlformats.org/officeDocument/2006/relationships/hyperlink" Target="https://pbs.twimg.com/media/DsbkJFMX4AAde6q.jpg" TargetMode="External"/><Relationship Id="rId1933" Type="http://schemas.openxmlformats.org/officeDocument/2006/relationships/hyperlink" Target="http://www.canalcostatv.es/" TargetMode="External"/><Relationship Id="rId18" Type="http://schemas.openxmlformats.org/officeDocument/2006/relationships/hyperlink" Target="https://twitter.com/joanbaldovi/status/1065943188660256769" TargetMode="External"/><Relationship Id="rId2195" Type="http://schemas.openxmlformats.org/officeDocument/2006/relationships/hyperlink" Target="https://amp.elmundo.es/espana/2018/11/19/5bf1c398268e3e627c8b4589.html?__twitter_impression=true" TargetMode="External"/><Relationship Id="rId167" Type="http://schemas.openxmlformats.org/officeDocument/2006/relationships/hyperlink" Target="https://ift.tt/2PMfB9c" TargetMode="External"/><Relationship Id="rId374" Type="http://schemas.openxmlformats.org/officeDocument/2006/relationships/hyperlink" Target="http://politiquetaizquierdista.com/" TargetMode="External"/><Relationship Id="rId581" Type="http://schemas.openxmlformats.org/officeDocument/2006/relationships/hyperlink" Target="https://twitter.com/AbueloBala/status/1064458992519430147" TargetMode="External"/><Relationship Id="rId2055" Type="http://schemas.openxmlformats.org/officeDocument/2006/relationships/hyperlink" Target="https://diario6.com/pablo-casado-al-igual-que-cospedal-tambien-se-reunio-con-villarejo/" TargetMode="External"/><Relationship Id="rId2262"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34" Type="http://schemas.openxmlformats.org/officeDocument/2006/relationships/hyperlink" Target="http://www.eljueves.es/" TargetMode="External"/><Relationship Id="rId679" Type="http://schemas.openxmlformats.org/officeDocument/2006/relationships/hyperlink" Target="https://www.elnacional.cat/enblau/es/television/pepa-bueno-pablo-casado-tension_327399_102.html" TargetMode="External"/><Relationship Id="rId886" Type="http://schemas.openxmlformats.org/officeDocument/2006/relationships/hyperlink" Target="http://www.lavozdeasturias.es/firmas/marcos-martino" TargetMode="External"/><Relationship Id="rId2567" Type="http://schemas.openxmlformats.org/officeDocument/2006/relationships/hyperlink" Target="http://elperiodi.co/fl0fv2" TargetMode="External"/><Relationship Id="rId2774" Type="http://schemas.openxmlformats.org/officeDocument/2006/relationships/hyperlink" Target="https://twitter.com/PPopular/status/1064133996722843650" TargetMode="External"/><Relationship Id="rId2" Type="http://schemas.openxmlformats.org/officeDocument/2006/relationships/hyperlink" Target="https://pbs.twimg.com/media/DssgCbJU0AAu1O2.png" TargetMode="External"/><Relationship Id="rId441" Type="http://schemas.openxmlformats.org/officeDocument/2006/relationships/hyperlink" Target="https://m.eldiario.es/_31fabdf9" TargetMode="External"/><Relationship Id="rId539" Type="http://schemas.openxmlformats.org/officeDocument/2006/relationships/hyperlink" Target="https://pbs.twimg.com/media/DsoVamZVAAA9PO2.jpg" TargetMode="External"/><Relationship Id="rId746" Type="http://schemas.openxmlformats.org/officeDocument/2006/relationships/hyperlink" Target="http://www.europapress.es/" TargetMode="External"/><Relationship Id="rId1071" Type="http://schemas.openxmlformats.org/officeDocument/2006/relationships/hyperlink" Target="http://supervivenciaconysinarte.blogspot.com.es/" TargetMode="External"/><Relationship Id="rId1169" Type="http://schemas.openxmlformats.org/officeDocument/2006/relationships/hyperlink" Target="http://bit.ly/2QYVn8P" TargetMode="External"/><Relationship Id="rId1376" Type="http://schemas.openxmlformats.org/officeDocument/2006/relationships/hyperlink" Target="http://www.holatravelalmonte.es/" TargetMode="External"/><Relationship Id="rId1583" Type="http://schemas.openxmlformats.org/officeDocument/2006/relationships/hyperlink" Target="http://diario16.com/cosido-me-sien" TargetMode="External"/><Relationship Id="rId2122" Type="http://schemas.openxmlformats.org/officeDocument/2006/relationships/hyperlink" Target="http://bit.ly/2A8rDiG" TargetMode="External"/><Relationship Id="rId2427" Type="http://schemas.openxmlformats.org/officeDocument/2006/relationships/hyperlink" Target="http://www.republicacatalunya.cat/" TargetMode="External"/><Relationship Id="rId301" Type="http://schemas.openxmlformats.org/officeDocument/2006/relationships/hyperlink" Target="https://m.eldiario.es/_31fba826" TargetMode="External"/><Relationship Id="rId953" Type="http://schemas.openxmlformats.org/officeDocument/2006/relationships/hyperlink" Target="https://m.eldiario.es/_316622b4" TargetMode="External"/><Relationship Id="rId1029" Type="http://schemas.openxmlformats.org/officeDocument/2006/relationships/hyperlink" Target="https://cabezacorazon.wordpress.com/" TargetMode="External"/><Relationship Id="rId1236" Type="http://schemas.openxmlformats.org/officeDocument/2006/relationships/hyperlink" Target="http://youtu.be/C1IJqtNsuUc?a" TargetMode="External"/><Relationship Id="rId1790" Type="http://schemas.openxmlformats.org/officeDocument/2006/relationships/hyperlink" Target="http://www.lasexta.com/elintermedio" TargetMode="External"/><Relationship Id="rId1888" Type="http://schemas.openxmlformats.org/officeDocument/2006/relationships/hyperlink" Target="https://dagume.myportfolio.com/" TargetMode="External"/><Relationship Id="rId2634" Type="http://schemas.openxmlformats.org/officeDocument/2006/relationships/hyperlink" Target="https://www.youtube.com/channel/UCY60GBj-H8SmayRG1UgDVWw" TargetMode="External"/><Relationship Id="rId2841" Type="http://schemas.openxmlformats.org/officeDocument/2006/relationships/hyperlink" Target="https://pbs.twimg.com/media/DsNLOnEXQAEoUnD.jpg" TargetMode="External"/><Relationship Id="rId2939" Type="http://schemas.openxmlformats.org/officeDocument/2006/relationships/hyperlink" Target="https://m.eldiario.es/_31e00b39" TargetMode="External"/><Relationship Id="rId82" Type="http://schemas.openxmlformats.org/officeDocument/2006/relationships/hyperlink" Target="http://www.facebook.com/nnggdistritosalamanca" TargetMode="External"/><Relationship Id="rId606" Type="http://schemas.openxmlformats.org/officeDocument/2006/relationships/hyperlink" Target="https://ctxt.es/es/20181121/Politica/22989/manu-garrido-elecciones-andaluc%C3%ADa-PP-Pablo-casado-campa%C3%B1a-sin-candidato-VOX.htm?utm_source=twitter&amp;utm_medium=social&amp;utm_campaign=publico" TargetMode="External"/><Relationship Id="rId813" Type="http://schemas.openxmlformats.org/officeDocument/2006/relationships/hyperlink" Target="http://dlvr.it/QrrMq8" TargetMode="External"/><Relationship Id="rId1443" Type="http://schemas.openxmlformats.org/officeDocument/2006/relationships/hyperlink" Target="https://www.elmundo.es/espana/2018/11/20/5bf4064222601d460c8b45ee.html" TargetMode="External"/><Relationship Id="rId1650" Type="http://schemas.openxmlformats.org/officeDocument/2006/relationships/hyperlink" Target="http://www.ascodevida.com/usuarios/parado" TargetMode="External"/><Relationship Id="rId1748" Type="http://schemas.openxmlformats.org/officeDocument/2006/relationships/hyperlink" Target="https://bit.ly/2KibbAJ" TargetMode="External"/><Relationship Id="rId2701" Type="http://schemas.openxmlformats.org/officeDocument/2006/relationships/hyperlink" Target="https://www.instagram.com/elyreplsss/" TargetMode="External"/><Relationship Id="rId1303" Type="http://schemas.openxmlformats.org/officeDocument/2006/relationships/hyperlink" Target="http://www.libertadfm.es/" TargetMode="External"/><Relationship Id="rId1510" Type="http://schemas.openxmlformats.org/officeDocument/2006/relationships/hyperlink" Target="https://www.youtube.com/watch?v=IZfcG0rPxrs" TargetMode="External"/><Relationship Id="rId1955"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1608" Type="http://schemas.openxmlformats.org/officeDocument/2006/relationships/hyperlink" Target="https://www.europapress.es/nacional/noticia-cosido-senala-no-planteado-dimitir-siente-respaldado-pablo-casado-20181120122235.html" TargetMode="External"/><Relationship Id="rId1815" Type="http://schemas.openxmlformats.org/officeDocument/2006/relationships/hyperlink" Target="https://elinfiltrado.info/" TargetMode="External"/><Relationship Id="rId189" Type="http://schemas.openxmlformats.org/officeDocument/2006/relationships/hyperlink" Target="https://www.eldiario.es/escolar/Pablo-Casado-Poder-Judicial-Cosido_6_838576166.html" TargetMode="External"/><Relationship Id="rId396" Type="http://schemas.openxmlformats.org/officeDocument/2006/relationships/hyperlink" Target="https://pbs.twimg.com/media/DsoteRRV4AAO1jd.jpg" TargetMode="External"/><Relationship Id="rId2077" Type="http://schemas.openxmlformats.org/officeDocument/2006/relationships/hyperlink" Target="http://dlvr.it/Qrb83v" TargetMode="External"/><Relationship Id="rId2284" Type="http://schemas.openxmlformats.org/officeDocument/2006/relationships/hyperlink" Target="https://www.eldiario.es/_31e5622c" TargetMode="External"/><Relationship Id="rId2491" Type="http://schemas.openxmlformats.org/officeDocument/2006/relationships/hyperlink" Target="https://www.huffingtonpost.es/2018/11/17/pablo-casado-los-espanoles-no-colonizabamos-lo-que-haciamos-era-tener-una-espana-mas-grande_a_23592393/" TargetMode="External"/><Relationship Id="rId256" Type="http://schemas.openxmlformats.org/officeDocument/2006/relationships/hyperlink" Target="https://www.eldiario.es/_31fac11c" TargetMode="External"/><Relationship Id="rId463" Type="http://schemas.openxmlformats.org/officeDocument/2006/relationships/hyperlink" Target="https://pbs.twimg.com/media/DsoD7u0VAAABbzY.jpg" TargetMode="External"/><Relationship Id="rId670" Type="http://schemas.openxmlformats.org/officeDocument/2006/relationships/hyperlink" Target="https://www.libertaddigital.com/espana/2018-11-22/casado-atribuye-a-rivalidades-en-el-gobierno-el-fracaso-del-pacto-del-cgpj-1276628663/" TargetMode="External"/><Relationship Id="rId1093" Type="http://schemas.openxmlformats.org/officeDocument/2006/relationships/hyperlink" Target="https://lektu.com/a/lola-flawless/5435" TargetMode="External"/><Relationship Id="rId2144" Type="http://schemas.openxmlformats.org/officeDocument/2006/relationships/hyperlink" Target="http://www.elconfidencialdigital.com/" TargetMode="External"/><Relationship Id="rId2351" Type="http://schemas.openxmlformats.org/officeDocument/2006/relationships/hyperlink" Target="https://www.eldiario.es/escolar/mentiras-Pablo-Casado-Gurtel-Irak_6_828777140.html" TargetMode="External"/><Relationship Id="rId2589" Type="http://schemas.openxmlformats.org/officeDocument/2006/relationships/hyperlink" Target="http://atres.red/wkitb4" TargetMode="External"/><Relationship Id="rId2796" Type="http://schemas.openxmlformats.org/officeDocument/2006/relationships/hyperlink" Target="https://twitter.com/Tyrexito/status/1044117207461056512" TargetMode="External"/><Relationship Id="rId116" Type="http://schemas.openxmlformats.org/officeDocument/2006/relationships/hyperlink" Target="https://www.facebook.com/JMPCAN" TargetMode="External"/><Relationship Id="rId323" Type="http://schemas.openxmlformats.org/officeDocument/2006/relationships/hyperlink" Target="http://www.eldiario.es/andalucia/" TargetMode="External"/><Relationship Id="rId530" Type="http://schemas.openxmlformats.org/officeDocument/2006/relationships/hyperlink" Target="https://www.eldiario.es/politica/Pablo-Casado-exaltacion-franquismo-probidida_0_838516217.html" TargetMode="External"/><Relationship Id="rId768" Type="http://schemas.openxmlformats.org/officeDocument/2006/relationships/hyperlink" Target="https://www.eldiario.es/_31fabdf9" TargetMode="External"/><Relationship Id="rId975" Type="http://schemas.openxmlformats.org/officeDocument/2006/relationships/hyperlink" Target="http://www.opinionydebate.es/" TargetMode="External"/><Relationship Id="rId1160" Type="http://schemas.openxmlformats.org/officeDocument/2006/relationships/hyperlink" Target="https://pbs.twimg.com/media/Dshu2-tXoAEWJcZ.jpg" TargetMode="External"/><Relationship Id="rId1398" Type="http://schemas.openxmlformats.org/officeDocument/2006/relationships/hyperlink" Target="https://www.europapress.es/nacional/noticia-ciudadanos-recuerda-promesa-sanchez-2014-cgpj-verdaderamente-independiente-gobierno-20181112183024.html" TargetMode="External"/><Relationship Id="rId2004" Type="http://schemas.openxmlformats.org/officeDocument/2006/relationships/hyperlink" Target="https://www.periodistadigital.com/politica/partidos-politicos/2018/11/19/ana-isabel-perez-pp-asamblea-madrid-diputada-madrid-central-carmena-pablo-casado-angel-garrido.shtml" TargetMode="External"/><Relationship Id="rId2211" Type="http://schemas.openxmlformats.org/officeDocument/2006/relationships/hyperlink" Target="https://www.20minutos.es/noticia/3494665/0/pablo-casado-reivindica-gibraltar-espanol-culpa-sanchez-traicion/?utm_source=Twitter-20minutos&amp;utm_medium=Social&amp;utm_campaign=Postlink" TargetMode="External"/><Relationship Id="rId2449" Type="http://schemas.openxmlformats.org/officeDocument/2006/relationships/hyperlink" Target="http://www.eldiario.es/andalucia/" TargetMode="External"/><Relationship Id="rId2656" Type="http://schemas.openxmlformats.org/officeDocument/2006/relationships/hyperlink" Target="http://ow.ly/H5u930mETVW" TargetMode="External"/><Relationship Id="rId2863"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628" Type="http://schemas.openxmlformats.org/officeDocument/2006/relationships/hyperlink" Target="https://www.elnacional.cat/enblau/es/television/pepa-bueno-pablo-casado-tension_327399_102.html" TargetMode="External"/><Relationship Id="rId835" Type="http://schemas.openxmlformats.org/officeDocument/2006/relationships/hyperlink" Target="http://www.huffingtonpost.es/" TargetMode="External"/><Relationship Id="rId1258" Type="http://schemas.openxmlformats.org/officeDocument/2006/relationships/hyperlink" Target="http://www.elnacional.cat/es/" TargetMode="External"/><Relationship Id="rId1465" Type="http://schemas.openxmlformats.org/officeDocument/2006/relationships/hyperlink" Target="https://pbs.twimg.com/media/DsdPPYYWsAEExEM.jpg" TargetMode="External"/><Relationship Id="rId1672" Type="http://schemas.openxmlformats.org/officeDocument/2006/relationships/hyperlink" Target="https://www.ecorepublicano.es/2018/11/anabel-alonso-destroza-pablo-casado-en.html" TargetMode="External"/><Relationship Id="rId2309" Type="http://schemas.openxmlformats.org/officeDocument/2006/relationships/hyperlink" Target="http://dlvr.it/QrZ4t7" TargetMode="External"/><Relationship Id="rId2516" Type="http://schemas.openxmlformats.org/officeDocument/2006/relationships/hyperlink" Target="https://www.eldiario.es/_316622b4" TargetMode="External"/><Relationship Id="rId2723" Type="http://schemas.openxmlformats.org/officeDocument/2006/relationships/hyperlink" Target="https://www.zazzle.co.uk/simon_gardner" TargetMode="External"/><Relationship Id="rId1020" Type="http://schemas.openxmlformats.org/officeDocument/2006/relationships/hyperlink" Target="https://pbs.twimg.com/media/DsjXTrMXQAE0HlS.jpg" TargetMode="External"/><Relationship Id="rId1118" Type="http://schemas.openxmlformats.org/officeDocument/2006/relationships/hyperlink" Target="https://www.elmundo.es/espana/2018/11/21/5bf52116268e3e98538b45df.html" TargetMode="External"/><Relationship Id="rId1325" Type="http://schemas.openxmlformats.org/officeDocument/2006/relationships/hyperlink" Target="http://www.facebook.es/podridopopular" TargetMode="External"/><Relationship Id="rId1532" Type="http://schemas.openxmlformats.org/officeDocument/2006/relationships/hyperlink" Target="http://bit.ly/2S49WYS" TargetMode="External"/><Relationship Id="rId1977" Type="http://schemas.openxmlformats.org/officeDocument/2006/relationships/hyperlink" Target="https://www.eldiario.es/_316622b4" TargetMode="External"/><Relationship Id="rId2930" Type="http://schemas.openxmlformats.org/officeDocument/2006/relationships/hyperlink" Target="https://m.facebook.com/lavhl/" TargetMode="External"/><Relationship Id="rId902" Type="http://schemas.openxmlformats.org/officeDocument/2006/relationships/hyperlink" Target="http://danielmiguel.es/" TargetMode="External"/><Relationship Id="rId1837" Type="http://schemas.openxmlformats.org/officeDocument/2006/relationships/hyperlink" Target="http://pic.twitter.com/qfLC4V5lSE" TargetMode="External"/><Relationship Id="rId31" Type="http://schemas.openxmlformats.org/officeDocument/2006/relationships/hyperlink" Target="http://www.iagua.es/blogs/daniel-senderos" TargetMode="External"/><Relationship Id="rId2099" Type="http://schemas.openxmlformats.org/officeDocument/2006/relationships/hyperlink" Target="https://www.lalertacanal.cat/pablo-casado-els-espanyols-no-colonitzavem-el-que-feiem-era-tenir-una-espanya-mes-gran/" TargetMode="External"/><Relationship Id="rId180" Type="http://schemas.openxmlformats.org/officeDocument/2006/relationships/hyperlink" Target="https://www.eljueves.es/news/universidad-rey-juan-carlos-contrata-como-profesor-a-pablo-casado_2968" TargetMode="External"/><Relationship Id="rId278" Type="http://schemas.openxmlformats.org/officeDocument/2006/relationships/hyperlink" Target="https://m.eldiario.es/_31fabdf9" TargetMode="External"/><Relationship Id="rId1904" Type="http://schemas.openxmlformats.org/officeDocument/2006/relationships/hyperlink" Target="http://ppdeislacristina.blogspot.com.es/" TargetMode="External"/><Relationship Id="rId485" Type="http://schemas.openxmlformats.org/officeDocument/2006/relationships/hyperlink" Target="http://pic.twitter.com/EHeGcgl64x" TargetMode="External"/><Relationship Id="rId692" Type="http://schemas.openxmlformats.org/officeDocument/2006/relationships/hyperlink" Target="https://www.facebook.com/wilmer.torres.315/posts/10215615908663561" TargetMode="External"/><Relationship Id="rId2166" Type="http://schemas.openxmlformats.org/officeDocument/2006/relationships/hyperlink" Target="http://canal4diario.com/2018/11/19/es-mas-de-lo-mismo/" TargetMode="External"/><Relationship Id="rId2373" Type="http://schemas.openxmlformats.org/officeDocument/2006/relationships/hyperlink" Target="http://shr.gs/WJjPhZi" TargetMode="External"/><Relationship Id="rId2580" Type="http://schemas.openxmlformats.org/officeDocument/2006/relationships/hyperlink" Target="http://ve.linkedin.com/pub/belkis-a-merch%C3%A1n-g/63/21b/617" TargetMode="External"/><Relationship Id="rId138" Type="http://schemas.openxmlformats.org/officeDocument/2006/relationships/hyperlink" Target="http://www.tecnitrad.com/" TargetMode="External"/><Relationship Id="rId345" Type="http://schemas.openxmlformats.org/officeDocument/2006/relationships/hyperlink" Target="http://seccionsindicalugt-sellbytel.blogspot.com.es/" TargetMode="External"/><Relationship Id="rId552" Type="http://schemas.openxmlformats.org/officeDocument/2006/relationships/hyperlink" Target="https://pbs.twimg.com/media/DsoQlakXcAAGbAL.jpg" TargetMode="External"/><Relationship Id="rId997" Type="http://schemas.openxmlformats.org/officeDocument/2006/relationships/hyperlink" Target="https://www.libertaddigital.com/espana/2018-11-21/pedro-sanchez-pide-a-casado-y-rufian-que-pidan-discupas-por-el-escupitajo-de-erc-a-borell-1276628638/" TargetMode="External"/><Relationship Id="rId1182" Type="http://schemas.openxmlformats.org/officeDocument/2006/relationships/hyperlink" Target="https://bit.ly/2DNNJeq" TargetMode="External"/><Relationship Id="rId2026" Type="http://schemas.openxmlformats.org/officeDocument/2006/relationships/hyperlink" Target="https://www.vozpopuli.com/_47092341" TargetMode="External"/><Relationship Id="rId2233" Type="http://schemas.openxmlformats.org/officeDocument/2006/relationships/hyperlink" Target="http://diario16.com/denunciado-fiscal-pidio-archivo-del-caso-master-pablo-casado/" TargetMode="External"/><Relationship Id="rId2440" Type="http://schemas.openxmlformats.org/officeDocument/2006/relationships/hyperlink" Target="https://www.atlanticaxxii.com/los-palos-a-pablo-casado-ante-medio-millon-de-espectadores-por-decir-que-nadie-habla-asturiano/" TargetMode="External"/><Relationship Id="rId2678" Type="http://schemas.openxmlformats.org/officeDocument/2006/relationships/hyperlink" Target="http://susoworld33.blogspot.com.es/" TargetMode="External"/><Relationship Id="rId2885" Type="http://schemas.openxmlformats.org/officeDocument/2006/relationships/hyperlink" Target="https://www.huffingtonpost.es/leon-fernando-del-canto-/narrar-la-vida-como-un-viaje_a_22012292/?ncid" TargetMode="External"/><Relationship Id="rId205" Type="http://schemas.openxmlformats.org/officeDocument/2006/relationships/hyperlink" Target="https://m.eldiario.es/_31fba826" TargetMode="External"/><Relationship Id="rId412" Type="http://schemas.openxmlformats.org/officeDocument/2006/relationships/hyperlink" Target="https://www.eldiario.es/politica/Pablo-Casado-exaltacion-franquismo-probidida_0_838516217.html" TargetMode="External"/><Relationship Id="rId857" Type="http://schemas.openxmlformats.org/officeDocument/2006/relationships/hyperlink" Target="https://sites.google.com/view/sebastianlavezzolo" TargetMode="External"/><Relationship Id="rId1042" Type="http://schemas.openxmlformats.org/officeDocument/2006/relationships/hyperlink" Target="http://oficios2011.blogspot.com.ar/" TargetMode="External"/><Relationship Id="rId1487" Type="http://schemas.openxmlformats.org/officeDocument/2006/relationships/hyperlink" Target="http://dlvr.it/QrhDd4" TargetMode="External"/><Relationship Id="rId1694" Type="http://schemas.openxmlformats.org/officeDocument/2006/relationships/hyperlink" Target="http://www.eitb.eus/es/radio/radio-euskadi/programas/boulevard/" TargetMode="External"/><Relationship Id="rId2300" Type="http://schemas.openxmlformats.org/officeDocument/2006/relationships/hyperlink" Target="https://www.eldiario.es/politica/Casado-Andalucia-candidato-Juanma-Moreno_0_837116686.html" TargetMode="External"/><Relationship Id="rId2538" Type="http://schemas.openxmlformats.org/officeDocument/2006/relationships/hyperlink" Target="https://www.meneame.net/story/pablo-casado-contra-historia" TargetMode="External"/><Relationship Id="rId2745" Type="http://schemas.openxmlformats.org/officeDocument/2006/relationships/hyperlink" Target="http://www.guerraeterna.com/pablo-casado-contra-la-historia/" TargetMode="External"/><Relationship Id="rId2952"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717" Type="http://schemas.openxmlformats.org/officeDocument/2006/relationships/hyperlink" Target="http://www.huffingtonpost.es/" TargetMode="External"/><Relationship Id="rId924" Type="http://schemas.openxmlformats.org/officeDocument/2006/relationships/hyperlink" Target="https://pbs.twimg.com/media/Dsl4jrsX4AEV5YU.jpg" TargetMode="External"/><Relationship Id="rId1347" Type="http://schemas.openxmlformats.org/officeDocument/2006/relationships/hyperlink" Target="https://twitter.com/pablocasado_/status/1064961885383114754" TargetMode="External"/><Relationship Id="rId1554" Type="http://schemas.openxmlformats.org/officeDocument/2006/relationships/hyperlink" Target="http://inmoavery.com/" TargetMode="External"/><Relationship Id="rId1761" Type="http://schemas.openxmlformats.org/officeDocument/2006/relationships/hyperlink" Target="http://diario16.com/denunciado-fiscal-pidio-archivo-del-caso-master-pablo-casado/" TargetMode="External"/><Relationship Id="rId1999" Type="http://schemas.openxmlformats.org/officeDocument/2006/relationships/hyperlink" Target="http://www.ppasamblea.es/" TargetMode="External"/><Relationship Id="rId2605" Type="http://schemas.openxmlformats.org/officeDocument/2006/relationships/hyperlink" Target="http://pic.twitter.com/m3vyKOgqGt" TargetMode="External"/><Relationship Id="rId2812" Type="http://schemas.openxmlformats.org/officeDocument/2006/relationships/hyperlink" Target="http://alcantarillasocial.com/author/davidmocli24/" TargetMode="External"/><Relationship Id="rId53" Type="http://schemas.openxmlformats.org/officeDocument/2006/relationships/hyperlink" Target="https://www.eldiario.es/_31fba826" TargetMode="External"/><Relationship Id="rId1207" Type="http://schemas.openxmlformats.org/officeDocument/2006/relationships/hyperlink" Target="https://pbs.twimg.com/media/DshLYv3X4AAdLRP.jpg" TargetMode="External"/><Relationship Id="rId1414" Type="http://schemas.openxmlformats.org/officeDocument/2006/relationships/hyperlink" Target="https://diario6.com/pablo-casado-al-igual-que-cospedal-tambien-se-reunio-con-villarejo/" TargetMode="External"/><Relationship Id="rId1621" Type="http://schemas.openxmlformats.org/officeDocument/2006/relationships/hyperlink" Target="http://diario16.com/denunciado-fiscal-pidio-archivo-del-caso-master-pablo-casado/?fbclid=IwAR2eP-ei1w3DXBoY_CHyx8kGhw-PfCOvXdP0xJdOPvPhcmQtanUi9nAvNFs" TargetMode="External"/><Relationship Id="rId1859" Type="http://schemas.openxmlformats.org/officeDocument/2006/relationships/hyperlink" Target="https://www.ecorepublicano.es/2018/11/anabel-alonso-destroza-pablo-casado-en.html" TargetMode="External"/><Relationship Id="rId1719" Type="http://schemas.openxmlformats.org/officeDocument/2006/relationships/hyperlink" Target="http://www.e24diari.es/" TargetMode="External"/><Relationship Id="rId1926" Type="http://schemas.openxmlformats.org/officeDocument/2006/relationships/hyperlink" Target="https://www.elconfidencial.com/tecnologia/2017-04-10/gibraltar-armada-britanica-espana-brexit_1364155/" TargetMode="External"/><Relationship Id="rId2090" Type="http://schemas.openxmlformats.org/officeDocument/2006/relationships/hyperlink" Target="https://pbs.twimg.com/media/DsR9ecwWwAAXtIt.jpg" TargetMode="External"/><Relationship Id="rId2188" Type="http://schemas.openxmlformats.org/officeDocument/2006/relationships/hyperlink" Target="http://www.youtube.com/sila661" TargetMode="External"/><Relationship Id="rId2395" Type="http://schemas.openxmlformats.org/officeDocument/2006/relationships/hyperlink" Target="http://www.guerraeterna.com/pablo-casado-contra-la-historia/" TargetMode="External"/><Relationship Id="rId367" Type="http://schemas.openxmlformats.org/officeDocument/2006/relationships/hyperlink" Target="https://m.eldiario.es/_31fac11c" TargetMode="External"/><Relationship Id="rId574" Type="http://schemas.openxmlformats.org/officeDocument/2006/relationships/hyperlink" Target="https://m.eldiario.es/_31fabdf9" TargetMode="External"/><Relationship Id="rId2048" Type="http://schemas.openxmlformats.org/officeDocument/2006/relationships/hyperlink" Target="http://www.diario16.com/" TargetMode="External"/><Relationship Id="rId2255" Type="http://schemas.openxmlformats.org/officeDocument/2006/relationships/hyperlink" Target="https://paquitelocuenta.blogspot.com/" TargetMode="External"/><Relationship Id="rId227" Type="http://schemas.openxmlformats.org/officeDocument/2006/relationships/hyperlink" Target="http://www.juanbcn.net/" TargetMode="External"/><Relationship Id="rId781" Type="http://schemas.openxmlformats.org/officeDocument/2006/relationships/hyperlink" Target="https://pbs.twimg.com/media/Dsmu9baV4AAWjVU.jpg" TargetMode="External"/><Relationship Id="rId879" Type="http://schemas.openxmlformats.org/officeDocument/2006/relationships/hyperlink" Target="https://www.elmundo.es/espana/2018/11/22/5bf5c490e5fdeade018b45ea.html" TargetMode="External"/><Relationship Id="rId2462" Type="http://schemas.openxmlformats.org/officeDocument/2006/relationships/hyperlink" Target="https://www.elmundo.es/andalucia/2018/11/18/5bf1600fe2704ed9718b45f0.html" TargetMode="External"/><Relationship Id="rId2767" Type="http://schemas.openxmlformats.org/officeDocument/2006/relationships/hyperlink" Target="https://goo.gl/mzLwXx" TargetMode="External"/><Relationship Id="rId434" Type="http://schemas.openxmlformats.org/officeDocument/2006/relationships/hyperlink" Target="https://www.eldiario.es/_31fba826" TargetMode="External"/><Relationship Id="rId641" Type="http://schemas.openxmlformats.org/officeDocument/2006/relationships/hyperlink" Target="https://www.eldiario.es/escolar/mentiras-Pablo-Casado-Gurtel-Irak_6_828777140.html" TargetMode="External"/><Relationship Id="rId739" Type="http://schemas.openxmlformats.org/officeDocument/2006/relationships/hyperlink" Target="http://cadenaser.com/" TargetMode="External"/><Relationship Id="rId1064" Type="http://schemas.openxmlformats.org/officeDocument/2006/relationships/hyperlink" Target="http://www.notivenezuela.com/" TargetMode="External"/><Relationship Id="rId1271" Type="http://schemas.openxmlformats.org/officeDocument/2006/relationships/hyperlink" Target="http://eldiario.es/" TargetMode="External"/><Relationship Id="rId1369" Type="http://schemas.openxmlformats.org/officeDocument/2006/relationships/hyperlink" Target="https://okdiario.com/espana/2018/11/20/pablo-casado-pedro-sanchez-elecciones-3372417" TargetMode="External"/><Relationship Id="rId1576" Type="http://schemas.openxmlformats.org/officeDocument/2006/relationships/hyperlink" Target="http://www.lextres.com/" TargetMode="External"/><Relationship Id="rId2115" Type="http://schemas.openxmlformats.org/officeDocument/2006/relationships/hyperlink" Target="https://www.portaldecadiz.com/provinciacadiz/36954-pablo-casado-el-pp-es-el-unico-que-defiende-un-gibraltar-espanol" TargetMode="External"/><Relationship Id="rId2322" Type="http://schemas.openxmlformats.org/officeDocument/2006/relationships/hyperlink" Target="http://www.lentejitas.net/about/" TargetMode="External"/><Relationship Id="rId501" Type="http://schemas.openxmlformats.org/officeDocument/2006/relationships/hyperlink" Target="https://www.eldiario.es/politica/Pablo-Casado-exaltacion-franquismo-probidida_0_838516217.html" TargetMode="External"/><Relationship Id="rId946" Type="http://schemas.openxmlformats.org/officeDocument/2006/relationships/hyperlink" Target="http://dlvr.it/Qrq7hN" TargetMode="External"/><Relationship Id="rId1131" Type="http://schemas.openxmlformats.org/officeDocument/2006/relationships/hyperlink" Target="https://goo.gl/Rpqvw5" TargetMode="External"/><Relationship Id="rId1229" Type="http://schemas.openxmlformats.org/officeDocument/2006/relationships/hyperlink" Target="http://youtu.be/xmf4wi0A-l8?a" TargetMode="External"/><Relationship Id="rId1783" Type="http://schemas.openxmlformats.org/officeDocument/2006/relationships/hyperlink" Target="https://twitter.com/inigolanda/status/1064557890776821768" TargetMode="External"/><Relationship Id="rId1990" Type="http://schemas.openxmlformats.org/officeDocument/2006/relationships/hyperlink" Target="https://twitter.com/irene53508557/status/1063883874499993600" TargetMode="External"/><Relationship Id="rId2627"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834" Type="http://schemas.openxmlformats.org/officeDocument/2006/relationships/hyperlink" Target="http://plumaroja-plumaroja.blogspot.com/" TargetMode="External"/><Relationship Id="rId75" Type="http://schemas.openxmlformats.org/officeDocument/2006/relationships/hyperlink" Target="https://www.eljueves.es/news/universidad-rey-juan-carlos-contrata-como-profesor-a-pablo-casado_2968" TargetMode="External"/><Relationship Id="rId806" Type="http://schemas.openxmlformats.org/officeDocument/2006/relationships/hyperlink" Target="http://play.cadenaser.com/audio/001RD010000005292190/?ssm=fb" TargetMode="External"/><Relationship Id="rId1436" Type="http://schemas.openxmlformats.org/officeDocument/2006/relationships/hyperlink" Target="https://pbs.twimg.com/media/DsdamCkWkAAqiZf.jpg" TargetMode="External"/><Relationship Id="rId1643" Type="http://schemas.openxmlformats.org/officeDocument/2006/relationships/hyperlink" Target="http://www.stopsucesiones.org/" TargetMode="External"/><Relationship Id="rId1850" Type="http://schemas.openxmlformats.org/officeDocument/2006/relationships/hyperlink" Target="https://www.instagram.com/yurenasabio/" TargetMode="External"/><Relationship Id="rId2901" Type="http://schemas.openxmlformats.org/officeDocument/2006/relationships/hyperlink" Target="https://youtu.be/aaJ2teDpg8A" TargetMode="External"/><Relationship Id="rId1503" Type="http://schemas.openxmlformats.org/officeDocument/2006/relationships/hyperlink" Target="https://www.eljueves.es/news/pablo-casado-propone-invadir-polonia-para-hacer-espana-mas-grande_2959" TargetMode="External"/><Relationship Id="rId1710" Type="http://schemas.openxmlformats.org/officeDocument/2006/relationships/hyperlink" Target="http://instagram.com/ramonMLGA" TargetMode="External"/><Relationship Id="rId1948" Type="http://schemas.openxmlformats.org/officeDocument/2006/relationships/hyperlink" Target="https://www.elmundo.es/andalucia/2018/11/18/5bf1600fe2704ed9718b45f0.html" TargetMode="External"/><Relationship Id="rId291" Type="http://schemas.openxmlformats.org/officeDocument/2006/relationships/hyperlink" Target="http://www.wix.com/alonsovidal/algeroz" TargetMode="External"/><Relationship Id="rId1808" Type="http://schemas.openxmlformats.org/officeDocument/2006/relationships/hyperlink" Target="http://dcain.etsin.upm.es/lfjcur.htm" TargetMode="External"/><Relationship Id="rId151" Type="http://schemas.openxmlformats.org/officeDocument/2006/relationships/hyperlink" Target="https://afaramos.blogspot.com/" TargetMode="External"/><Relationship Id="rId389" Type="http://schemas.openxmlformats.org/officeDocument/2006/relationships/hyperlink" Target="https://diario6.com/pablo-casado-el-hombre-que-cobra-1-842-euros-en-dietas-por-ser-diputado-por-avila-pero-que-vive-y-vota-en-madrid/" TargetMode="External"/><Relationship Id="rId596" Type="http://schemas.openxmlformats.org/officeDocument/2006/relationships/hyperlink" Target="https://youtu.be/2vVFQHUT0RQ" TargetMode="External"/><Relationship Id="rId2277" Type="http://schemas.openxmlformats.org/officeDocument/2006/relationships/hyperlink" Target="http://pic.twitter.com/WAJ0MVu0Yh" TargetMode="External"/><Relationship Id="rId2484" Type="http://schemas.openxmlformats.org/officeDocument/2006/relationships/hyperlink" Target="http://dlvr.it/QrXh5H" TargetMode="External"/><Relationship Id="rId2691" Type="http://schemas.openxmlformats.org/officeDocument/2006/relationships/hyperlink" Target="https://www.youtube.com/user/MikiCes" TargetMode="External"/><Relationship Id="rId249" Type="http://schemas.openxmlformats.org/officeDocument/2006/relationships/hyperlink" Target="https://www.eldiario.es/_31fba826" TargetMode="External"/><Relationship Id="rId456" Type="http://schemas.openxmlformats.org/officeDocument/2006/relationships/hyperlink" Target="http://www.lagacetadealmeria.com/" TargetMode="External"/><Relationship Id="rId663" Type="http://schemas.openxmlformats.org/officeDocument/2006/relationships/hyperlink" Target="https://www.eldiario.es/_31fabdf9" TargetMode="External"/><Relationship Id="rId870" Type="http://schemas.openxmlformats.org/officeDocument/2006/relationships/hyperlink" Target="http://www.huffingtonpost.es/2018/11/22/pablo-casado-rechaza-el-whatsapp-sobre-los-jueces-y-cree-que-no-lo-escribio-cosido_a_23596700/" TargetMode="External"/><Relationship Id="rId1086" Type="http://schemas.openxmlformats.org/officeDocument/2006/relationships/hyperlink" Target="https://www.facebook.com/mundosinguerras.cadiz" TargetMode="External"/><Relationship Id="rId1293" Type="http://schemas.openxmlformats.org/officeDocument/2006/relationships/hyperlink" Target="https://www.eldiario.es/politica/Pablo-Casado-puede-decir-descubierto_0_824867649.html" TargetMode="External"/><Relationship Id="rId2137" Type="http://schemas.openxmlformats.org/officeDocument/2006/relationships/hyperlink" Target="https://pbs.twimg.com/media/DsXFK9QWoAE4DWp.jpg" TargetMode="External"/><Relationship Id="rId2344" Type="http://schemas.openxmlformats.org/officeDocument/2006/relationships/hyperlink" Target="http://superkamiokandedonut.blogspot.com.es/" TargetMode="External"/><Relationship Id="rId2551" Type="http://schemas.openxmlformats.org/officeDocument/2006/relationships/hyperlink" Target="http://elregresodejuandemairena.blogspot.com.es/" TargetMode="External"/><Relationship Id="rId2789" Type="http://schemas.openxmlformats.org/officeDocument/2006/relationships/hyperlink" Target="http://www.guerraeterna.com/pablo-casado-contra-la-historia/" TargetMode="External"/><Relationship Id="rId109" Type="http://schemas.openxmlformats.org/officeDocument/2006/relationships/hyperlink" Target="https://m.eldiario.es/_31fba826" TargetMode="External"/><Relationship Id="rId316" Type="http://schemas.openxmlformats.org/officeDocument/2006/relationships/hyperlink" Target="http://rosamariaartal.wordpress.com/" TargetMode="External"/><Relationship Id="rId523" Type="http://schemas.openxmlformats.org/officeDocument/2006/relationships/hyperlink" Target="https://www.tribunaavila.com/noticias/fernandez-manueco-llama-a-los-populares-a-llevar-en-volandas-a-pablo-casado-a-la-moncloa" TargetMode="External"/><Relationship Id="rId968" Type="http://schemas.openxmlformats.org/officeDocument/2006/relationships/hyperlink" Target="http://cataladigital.cat/2018/11/21/las-20-frases-mas-surrealistas-de-pablo-casado/" TargetMode="External"/><Relationship Id="rId1153" Type="http://schemas.openxmlformats.org/officeDocument/2006/relationships/hyperlink" Target="http://ow.ly/tUga30mHj47" TargetMode="External"/><Relationship Id="rId1598" Type="http://schemas.openxmlformats.org/officeDocument/2006/relationships/hyperlink" Target="https://pbs.twimg.com/media/Dscfp5LU8AE0Oqz.jpg" TargetMode="External"/><Relationship Id="rId2204" Type="http://schemas.openxmlformats.org/officeDocument/2006/relationships/hyperlink" Target="https://www.diariodejerez.es/_4d94d668" TargetMode="External"/><Relationship Id="rId2649" Type="http://schemas.openxmlformats.org/officeDocument/2006/relationships/hyperlink" Target="http://www.guerraeterna.com/pablo-casado-contra-la-historia/" TargetMode="External"/><Relationship Id="rId2856" Type="http://schemas.openxmlformats.org/officeDocument/2006/relationships/hyperlink" Target="http://blogs.libertaddigital.com/enigmas-del-11-m/pablo-casado-entrega-la-justicia-a-pedro-sanchez-15104/" TargetMode="External"/><Relationship Id="rId97" Type="http://schemas.openxmlformats.org/officeDocument/2006/relationships/hyperlink" Target="https://pbs.twimg.com/media/Dsr5VzrXQAA-Q1u.jpg" TargetMode="External"/><Relationship Id="rId730" Type="http://schemas.openxmlformats.org/officeDocument/2006/relationships/hyperlink" Target="https://www.eldiario.es/_31fabdf9" TargetMode="External"/><Relationship Id="rId828" Type="http://schemas.openxmlformats.org/officeDocument/2006/relationships/hyperlink" Target="https://pbs.twimg.com/media/DsmeW1_XoAA57lS.jpg" TargetMode="External"/><Relationship Id="rId1013" Type="http://schemas.openxmlformats.org/officeDocument/2006/relationships/hyperlink" Target="https://canariasopina.com/2018/11/21/opinion-martin-ru-pablo-casado-olvido-su-primer-discurso/" TargetMode="External"/><Relationship Id="rId1360" Type="http://schemas.openxmlformats.org/officeDocument/2006/relationships/hyperlink" Target="https://www.voxespana.es/" TargetMode="External"/><Relationship Id="rId1458" Type="http://schemas.openxmlformats.org/officeDocument/2006/relationships/hyperlink" Target="https://www.nuevatribuna.es/opinion/jose-luis-lopez-bulla/violetas-imperiales-pablo-casado/20181120103644157616.html" TargetMode="External"/><Relationship Id="rId1665" Type="http://schemas.openxmlformats.org/officeDocument/2006/relationships/hyperlink" Target="https://twitter.com/lexlozanos/status/1020649946662522880" TargetMode="External"/><Relationship Id="rId1872" Type="http://schemas.openxmlformats.org/officeDocument/2006/relationships/hyperlink" Target="http://youtu.be/5m5p3OeKwyA?a" TargetMode="External"/><Relationship Id="rId2411" Type="http://schemas.openxmlformats.org/officeDocument/2006/relationships/hyperlink" Target="https://m.huffingtonpost.es/2018/11/17/pablo-casado-los-espanoles-no-colonizabamos-lo-que-haciamos-era-tener-una-espana-mas-grande_a_23592393/?utm_hp_ref=es-homepage&amp;ncid=other_homepage_tiwdkz83gze&amp;utm_campaign=mw_entry_recirc" TargetMode="External"/><Relationship Id="rId2509" Type="http://schemas.openxmlformats.org/officeDocument/2006/relationships/hyperlink" Target="http://shr.gs/WJjPhZi" TargetMode="External"/><Relationship Id="rId2716" Type="http://schemas.openxmlformats.org/officeDocument/2006/relationships/hyperlink" Target="https://www.elmundo.es/andalucia/2018/11/18/5bf1600fe2704ed9718b45f0.html" TargetMode="External"/><Relationship Id="rId1220" Type="http://schemas.openxmlformats.org/officeDocument/2006/relationships/hyperlink" Target="https://www.elmundotoday.com/2018/11/pedro-sanchez-y-pablo-casado-trabajaran-como-jueces-por-las-tardes-mientras-no-se-escoja-a-un-nuevo-presidente-del-poder-judicial/" TargetMode="External"/><Relationship Id="rId1318" Type="http://schemas.openxmlformats.org/officeDocument/2006/relationships/hyperlink" Target="http://cataladigital.cat/2018/11/21/las-20-frases-mas-surrealistas-de-pablo-casado/" TargetMode="External"/><Relationship Id="rId1525" Type="http://schemas.openxmlformats.org/officeDocument/2006/relationships/hyperlink" Target="https://pbs.twimg.com/media/Dscx1SuXcAAHKjx.jpg" TargetMode="External"/><Relationship Id="rId2923" Type="http://schemas.openxmlformats.org/officeDocument/2006/relationships/hyperlink" Target="https://www.libertaddigital.com/opinion/federico-jimenez-losantos/el-misterio-del-suicidio-de-casado-con-el-veneno-de-rajoy-86505/" TargetMode="External"/><Relationship Id="rId1732" Type="http://schemas.openxmlformats.org/officeDocument/2006/relationships/hyperlink" Target="https://twitter.com/pabloharour/status/1064782098899394560" TargetMode="External"/><Relationship Id="rId24" Type="http://schemas.openxmlformats.org/officeDocument/2006/relationships/hyperlink" Target="https://www.eldiario.es/_31fba826" TargetMode="External"/><Relationship Id="rId2299" Type="http://schemas.openxmlformats.org/officeDocument/2006/relationships/hyperlink" Target="http://eldiario.es/" TargetMode="External"/><Relationship Id="rId173" Type="http://schemas.openxmlformats.org/officeDocument/2006/relationships/hyperlink" Target="http://www.enblau.com/es/" TargetMode="External"/><Relationship Id="rId380" Type="http://schemas.openxmlformats.org/officeDocument/2006/relationships/hyperlink" Target="https://m.eldiario.es/_31fba826" TargetMode="External"/><Relationship Id="rId2061" Type="http://schemas.openxmlformats.org/officeDocument/2006/relationships/hyperlink" Target="https://www.periodistadigital.com/politica/partidos-politicos/2018/11/19/ana-isabel-perez-pp-asamblea-madrid-diputada-madrid-central-carmena-pablo-casado-angel-garrido.shtml" TargetMode="External"/><Relationship Id="rId240" Type="http://schemas.openxmlformats.org/officeDocument/2006/relationships/hyperlink" Target="https://www.facebook.com/lacorruptecapublica/?ref=settings" TargetMode="External"/><Relationship Id="rId478" Type="http://schemas.openxmlformats.org/officeDocument/2006/relationships/hyperlink" Target="https://pbs.twimg.com/media/DsovpHxXQAgT5mk.jpg" TargetMode="External"/><Relationship Id="rId685" Type="http://schemas.openxmlformats.org/officeDocument/2006/relationships/hyperlink" Target="https://www.elplural.com/politica/tension-entre-pepa-bueno-y-casado-puedo-preguntar-ya_206832102" TargetMode="External"/><Relationship Id="rId892" Type="http://schemas.openxmlformats.org/officeDocument/2006/relationships/hyperlink" Target="http://www.eldiario.es/" TargetMode="External"/><Relationship Id="rId2159" Type="http://schemas.openxmlformats.org/officeDocument/2006/relationships/hyperlink" Target="http://juansantiso.blogspot.com/" TargetMode="External"/><Relationship Id="rId2366" Type="http://schemas.openxmlformats.org/officeDocument/2006/relationships/hyperlink" Target="http://www.jordimunoz.cat/" TargetMode="External"/><Relationship Id="rId2573" Type="http://schemas.openxmlformats.org/officeDocument/2006/relationships/hyperlink" Target="http://elcorreoweb.es/andalucia/casado-enarbola-la-bandera-andaluza-y-llama-a-llenar-las-urnas-de-votos-del-pp-XJ4649202" TargetMode="External"/><Relationship Id="rId2780" Type="http://schemas.openxmlformats.org/officeDocument/2006/relationships/hyperlink" Target="https://m.huffingtonpost.es/amp/2018/11/17/pablo-casado-los-espanoles-no-colonizabamos-lo-que-haciamos-era-tener-una-espana-mas-grande_a_23592393/?ncid=other_twitter_cooo9wqtham&amp;utm_campaign=share_twitter&amp;__twitter_impression=true" TargetMode="External"/><Relationship Id="rId100" Type="http://schemas.openxmlformats.org/officeDocument/2006/relationships/hyperlink" Target="http://contracobardes.blogspot.com.es/?m=1" TargetMode="External"/><Relationship Id="rId338" Type="http://schemas.openxmlformats.org/officeDocument/2006/relationships/hyperlink" Target="http://youtu.be/jybqW6AZOQ0?a" TargetMode="External"/><Relationship Id="rId545" Type="http://schemas.openxmlformats.org/officeDocument/2006/relationships/hyperlink" Target="https://www.youtube.com/c/alfilodelabrecha" TargetMode="External"/><Relationship Id="rId752" Type="http://schemas.openxmlformats.org/officeDocument/2006/relationships/hyperlink" Target="https://pbs.twimg.com/media/DsiFolZWoAElW8O.jpg" TargetMode="External"/><Relationship Id="rId1175" Type="http://schemas.openxmlformats.org/officeDocument/2006/relationships/hyperlink" Target="https://okdiario.com/espana/2018/11/21/casado-propone-que-jueces-elijan-cgpj-mientras-sanchez-aferra-reparto-politico-3374499" TargetMode="External"/><Relationship Id="rId1382" Type="http://schemas.openxmlformats.org/officeDocument/2006/relationships/hyperlink" Target="http://www.tribunaburgos.com/" TargetMode="External"/><Relationship Id="rId2019" Type="http://schemas.openxmlformats.org/officeDocument/2006/relationships/hyperlink" Target="http://bit.ly/2aBX4nT" TargetMode="External"/><Relationship Id="rId2226" Type="http://schemas.openxmlformats.org/officeDocument/2006/relationships/hyperlink" Target="https://m.eldiario.es/_31e5622c" TargetMode="External"/><Relationship Id="rId2433" Type="http://schemas.openxmlformats.org/officeDocument/2006/relationships/hyperlink" Target="https://www.ivoox.com/30098587" TargetMode="External"/><Relationship Id="rId2640" Type="http://schemas.openxmlformats.org/officeDocument/2006/relationships/hyperlink" Target="http://ihatetogrowupwithmuggles.tumblr.com/" TargetMode="External"/><Relationship Id="rId2878" Type="http://schemas.openxmlformats.org/officeDocument/2006/relationships/hyperlink" Target="http://blogs.libertaddigital.com/enigmas-del-11-m/pablo-casado-entrega-la-justicia-a-pedro-sanchez-15104/" TargetMode="External"/><Relationship Id="rId405" Type="http://schemas.openxmlformats.org/officeDocument/2006/relationships/hyperlink" Target="https://twitter.com/DisneyStudios/status/1065734931970551808" TargetMode="External"/><Relationship Id="rId612" Type="http://schemas.openxmlformats.org/officeDocument/2006/relationships/hyperlink" Target="http://espana.abc.es/medll3" TargetMode="External"/><Relationship Id="rId1035" Type="http://schemas.openxmlformats.org/officeDocument/2006/relationships/hyperlink" Target="https://www.europapress.es/nacional/noticia-recelos-dentro-pp-propuesta-entregar-jueces-eleccion-cgpj-riesgo-corporativismo-20181121195054.html" TargetMode="External"/><Relationship Id="rId1242" Type="http://schemas.openxmlformats.org/officeDocument/2006/relationships/hyperlink" Target="http://www.elmundo.es/espana.html" TargetMode="External"/><Relationship Id="rId1687" Type="http://schemas.openxmlformats.org/officeDocument/2006/relationships/hyperlink" Target="http://pic.twitter.com/FDOx4x1dAv" TargetMode="External"/><Relationship Id="rId1894" Type="http://schemas.openxmlformats.org/officeDocument/2006/relationships/hyperlink" Target="https://www.eljueves.es/news/elvis-presley-vuelve-a-vida-despues-que-pablo-casado-diga-tres-veces-seguidas-viva-rey_2763" TargetMode="External"/><Relationship Id="rId2500" Type="http://schemas.openxmlformats.org/officeDocument/2006/relationships/hyperlink" Target="http://www.huelvaya.es/" TargetMode="External"/><Relationship Id="rId2738" Type="http://schemas.openxmlformats.org/officeDocument/2006/relationships/hyperlink" Target="https://www.radiorute.com/pablo-casado-muestra-en-rute-su-rostro-mas-dulce/" TargetMode="External"/><Relationship Id="rId2945" Type="http://schemas.openxmlformats.org/officeDocument/2006/relationships/hyperlink" Target="https://www.huffingtonpost.es/2018/11/17/pablo-casado-los-espanoles-no-colonizabamos-lo-que-haciamos-era-tener-una-espana-mas-grande_a_23592393/" TargetMode="External"/><Relationship Id="rId917" Type="http://schemas.openxmlformats.org/officeDocument/2006/relationships/hyperlink" Target="http://www.huffingtonpost.es/" TargetMode="External"/><Relationship Id="rId1102" Type="http://schemas.openxmlformats.org/officeDocument/2006/relationships/hyperlink" Target="http://eleconomista.es/" TargetMode="External"/><Relationship Id="rId1547" Type="http://schemas.openxmlformats.org/officeDocument/2006/relationships/hyperlink" Target="https://www.instagram.com/jid93/" TargetMode="External"/><Relationship Id="rId1754" Type="http://schemas.openxmlformats.org/officeDocument/2006/relationships/hyperlink" Target="http://nuevarevolucion.es/" TargetMode="External"/><Relationship Id="rId1961" Type="http://schemas.openxmlformats.org/officeDocument/2006/relationships/hyperlink" Target="https://pbs.twimg.com/media/DsYbW4zXcAMC66z.jpg" TargetMode="External"/><Relationship Id="rId2805" Type="http://schemas.openxmlformats.org/officeDocument/2006/relationships/hyperlink" Target="http://www.ivoox.com/30098587" TargetMode="External"/><Relationship Id="rId46" Type="http://schemas.openxmlformats.org/officeDocument/2006/relationships/hyperlink" Target="http://instagram.com/fos.qi" TargetMode="External"/><Relationship Id="rId1407" Type="http://schemas.openxmlformats.org/officeDocument/2006/relationships/hyperlink" Target="http://www.alertadigital.com/2018/11/20/pablo-casado-abre-las-puertas-a-ilegalizar-algunos-credos-inasumibles-que-acaban-en-una-radicalizacion-violenta/" TargetMode="External"/><Relationship Id="rId1614" Type="http://schemas.openxmlformats.org/officeDocument/2006/relationships/hyperlink" Target="https://ift.tt/2Fsgwqu" TargetMode="External"/><Relationship Id="rId1821" Type="http://schemas.openxmlformats.org/officeDocument/2006/relationships/hyperlink" Target="http://diario16.com/denunciado-fiscal-pidio-archivo-del-caso-master-pablo-casado/" TargetMode="External"/><Relationship Id="rId195" Type="http://schemas.openxmlformats.org/officeDocument/2006/relationships/hyperlink" Target="http://page.is/R.Torres" TargetMode="External"/><Relationship Id="rId1919" Type="http://schemas.openxmlformats.org/officeDocument/2006/relationships/hyperlink" Target="http://www.pedripol.com/" TargetMode="External"/><Relationship Id="rId2083" Type="http://schemas.openxmlformats.org/officeDocument/2006/relationships/hyperlink" Target="https://www.lasexta.com/noticias/nacional/elecciones-andalucia/pablo-casado-se-apunta-al-revisionismo-historico-nosotros-no-colonizabamos-lo-que-haciamos-era-tener-una-espana-mas-grande-video_201811175bf050940cf288806d386365.html" TargetMode="External"/><Relationship Id="rId2290" Type="http://schemas.openxmlformats.org/officeDocument/2006/relationships/hyperlink" Target="http://www.publico.es/" TargetMode="External"/><Relationship Id="rId2388" Type="http://schemas.openxmlformats.org/officeDocument/2006/relationships/hyperlink" Target="https://www.elmundo.es/andalucia/2018/11/18/5bf1600fe2704ed9718b45f0.html" TargetMode="External"/><Relationship Id="rId2595" Type="http://schemas.openxmlformats.org/officeDocument/2006/relationships/hyperlink" Target="http://www.republica.com/" TargetMode="External"/><Relationship Id="rId262" Type="http://schemas.openxmlformats.org/officeDocument/2006/relationships/hyperlink" Target="https://www.eljueves.es/news/pablo-casado-intenta-comprar-remesa-esclavos-black-friday_2970" TargetMode="External"/><Relationship Id="rId567" Type="http://schemas.openxmlformats.org/officeDocument/2006/relationships/hyperlink" Target="https://twitter.com/ErnestoEkaizer/status/1065360735218409477" TargetMode="External"/><Relationship Id="rId1197" Type="http://schemas.openxmlformats.org/officeDocument/2006/relationships/hyperlink" Target="https://www.elmundo.es/espana/2018/11/21/5bf52116268e3e98538b45df.html" TargetMode="External"/><Relationship Id="rId2150"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248" Type="http://schemas.openxmlformats.org/officeDocument/2006/relationships/hyperlink" Target="https://diario6.com/pablo-casado-al-igual-que-cospedal-tambien-se-reunio-con-villarejo/" TargetMode="External"/><Relationship Id="rId122" Type="http://schemas.openxmlformats.org/officeDocument/2006/relationships/hyperlink" Target="https://www.eldiario.es/escolar/Pablo-Casado-Poder-Judicial-Cosido_6_838576166.html" TargetMode="External"/><Relationship Id="rId774" Type="http://schemas.openxmlformats.org/officeDocument/2006/relationships/hyperlink" Target="https://www.elmundo.es/espana/2018/11/22/5bf5c490e5fdeade018b45ea.html" TargetMode="External"/><Relationship Id="rId981" Type="http://schemas.openxmlformats.org/officeDocument/2006/relationships/hyperlink" Target="http://rosamariaartal.wordpress.com/" TargetMode="External"/><Relationship Id="rId1057" Type="http://schemas.openxmlformats.org/officeDocument/2006/relationships/hyperlink" Target="https://twitter.com/psoedeandalucia/status/1065235321267339264" TargetMode="External"/><Relationship Id="rId2010" Type="http://schemas.openxmlformats.org/officeDocument/2006/relationships/hyperlink" Target="http://sociologias-com.blogspot.com/" TargetMode="External"/><Relationship Id="rId2455" Type="http://schemas.openxmlformats.org/officeDocument/2006/relationships/hyperlink" Target="http://ww.cope.es/pfwdq1" TargetMode="External"/><Relationship Id="rId2662" Type="http://schemas.openxmlformats.org/officeDocument/2006/relationships/hyperlink" Target="https://laravot.wordpress.com/" TargetMode="External"/><Relationship Id="rId427" Type="http://schemas.openxmlformats.org/officeDocument/2006/relationships/hyperlink" Target="https://www.eldiario.es/politica/Pablo-Casado-exaltacion-franquismo-probidida_0_838516217.html" TargetMode="External"/><Relationship Id="rId634" Type="http://schemas.openxmlformats.org/officeDocument/2006/relationships/hyperlink" Target="http://dlvr.it/QrsSHZ" TargetMode="External"/><Relationship Id="rId841" Type="http://schemas.openxmlformats.org/officeDocument/2006/relationships/hyperlink" Target="https://www.youtube.com/channel/UC2OPRvShCwMeO__KHVyPl9w?sub_confirmation=1" TargetMode="External"/><Relationship Id="rId1264" Type="http://schemas.openxmlformats.org/officeDocument/2006/relationships/hyperlink" Target="http://www.cambio16.com/" TargetMode="External"/><Relationship Id="rId1471" Type="http://schemas.openxmlformats.org/officeDocument/2006/relationships/hyperlink" Target="https://pbs.twimg.com/media/DsdKOlUXQAUdpjI.jpg" TargetMode="External"/><Relationship Id="rId1569" Type="http://schemas.openxmlformats.org/officeDocument/2006/relationships/hyperlink" Target="http://morbixx.tumblr.com/" TargetMode="External"/><Relationship Id="rId2108" Type="http://schemas.openxmlformats.org/officeDocument/2006/relationships/hyperlink" Target="http://diario16.com/" TargetMode="External"/><Relationship Id="rId2315" Type="http://schemas.openxmlformats.org/officeDocument/2006/relationships/hyperlink" Target="https://www.eldiario.es/internacional/Steve-Bannon-Orban-Pablo-Casado_0_837116460.html" TargetMode="External"/><Relationship Id="rId2522" Type="http://schemas.openxmlformats.org/officeDocument/2006/relationships/hyperlink" Target="http://www.guerraeterna.com/pablo-casado-contra-la-historia/" TargetMode="External"/><Relationship Id="rId2967" Type="http://schemas.openxmlformats.org/officeDocument/2006/relationships/hyperlink" Target="http://blogs.libertaddigital.com/enigmas-del-11-m/pablo-casado-entrega-la-justicia-a-pedro-sanchez-15104/" TargetMode="External"/><Relationship Id="rId701" Type="http://schemas.openxmlformats.org/officeDocument/2006/relationships/hyperlink" Target="https://www.moncloa.com/jaime-santos-pablo-casado-madrid/" TargetMode="External"/><Relationship Id="rId939" Type="http://schemas.openxmlformats.org/officeDocument/2006/relationships/hyperlink" Target="http://notivenezuela.com/" TargetMode="External"/><Relationship Id="rId1124" Type="http://schemas.openxmlformats.org/officeDocument/2006/relationships/hyperlink" Target="https://www.youtube.com/watch?v=nyKcBUxQ7Ww&amp;feature=share" TargetMode="External"/><Relationship Id="rId1331" Type="http://schemas.openxmlformats.org/officeDocument/2006/relationships/hyperlink" Target="http://lluisaa10.blogspot.com.es/" TargetMode="External"/><Relationship Id="rId1776" Type="http://schemas.openxmlformats.org/officeDocument/2006/relationships/hyperlink" Target="http://pic.twitter.com/sYNbr1AVjV" TargetMode="External"/><Relationship Id="rId1983" Type="http://schemas.openxmlformats.org/officeDocument/2006/relationships/hyperlink" Target="http://antonioperal.blogspot.com/" TargetMode="External"/><Relationship Id="rId2827" Type="http://schemas.openxmlformats.org/officeDocument/2006/relationships/hyperlink" Target="http://paratraduccion.com/alugris/" TargetMode="External"/><Relationship Id="rId68" Type="http://schemas.openxmlformats.org/officeDocument/2006/relationships/hyperlink" Target="https://www.eljueves.es/news/pablo-casado-intenta-comprar-remesa-esclavos-black-friday_2970?utm_source=facebook&amp;utm_medium=social&amp;utm_campaign=trafico" TargetMode="External"/><Relationship Id="rId1429" Type="http://schemas.openxmlformats.org/officeDocument/2006/relationships/hyperlink" Target="https://shop.spreadshirt.es/camioriginal" TargetMode="External"/><Relationship Id="rId1636" Type="http://schemas.openxmlformats.org/officeDocument/2006/relationships/hyperlink" Target="http://www.stopsucesiones.org/" TargetMode="External"/><Relationship Id="rId1843" Type="http://schemas.openxmlformats.org/officeDocument/2006/relationships/hyperlink" Target="http://www.bluper.es/" TargetMode="External"/><Relationship Id="rId1703" Type="http://schemas.openxmlformats.org/officeDocument/2006/relationships/hyperlink" Target="https://twitter.com/poderjudiciales/status/1064781272483012609" TargetMode="External"/><Relationship Id="rId1910" Type="http://schemas.openxmlformats.org/officeDocument/2006/relationships/hyperlink" Target="https://www.instagram.com/p/BqX5QduAHyF/?utm_source=ig_twitter_share&amp;igshid=11krhi3im504s" TargetMode="External"/><Relationship Id="rId284" Type="http://schemas.openxmlformats.org/officeDocument/2006/relationships/hyperlink" Target="http://www.eldiario.es/" TargetMode="External"/><Relationship Id="rId491" Type="http://schemas.openxmlformats.org/officeDocument/2006/relationships/hyperlink" Target="https://goo.gl/7oSWtR" TargetMode="External"/><Relationship Id="rId2172" Type="http://schemas.openxmlformats.org/officeDocument/2006/relationships/hyperlink" Target="http://pic.twitter.com/ex3ThfufrT" TargetMode="External"/><Relationship Id="rId144" Type="http://schemas.openxmlformats.org/officeDocument/2006/relationships/hyperlink" Target="https://www.huffingtonpost.es/2018/11/22/tension-entre-pepa-bueno-y-pablo-casado-desde-esperanza-aguirre-no-he-tenido-tantas-dificultades-para-hacer-preguntas_a_23596803/?ncid=other_twitter_cooo9wqtham&amp;utm_campaign=share_twitterNUEVO" TargetMode="External"/><Relationship Id="rId589" Type="http://schemas.openxmlformats.org/officeDocument/2006/relationships/hyperlink" Target="https://www.eldiario.es/_316622b4" TargetMode="External"/><Relationship Id="rId796" Type="http://schemas.openxmlformats.org/officeDocument/2006/relationships/hyperlink" Target="https://m.eldiario.es/politica/Pablo-Casado-exaltacion-franquismo-probidida_0_838516217.html" TargetMode="External"/><Relationship Id="rId2477" Type="http://schemas.openxmlformats.org/officeDocument/2006/relationships/hyperlink" Target="http://www.guerraeterna.com/pablo-casado-contra-la-historia/" TargetMode="External"/><Relationship Id="rId2684" Type="http://schemas.openxmlformats.org/officeDocument/2006/relationships/hyperlink" Target="http://nabarra.blogspot.com/" TargetMode="External"/><Relationship Id="rId351" Type="http://schemas.openxmlformats.org/officeDocument/2006/relationships/hyperlink" Target="https://www.eldiario.es/_31fba826" TargetMode="External"/><Relationship Id="rId449" Type="http://schemas.openxmlformats.org/officeDocument/2006/relationships/hyperlink" Target="http://lagacetadealmeria.es/pablo-casado-visita-la-provincia-de-almeria/" TargetMode="External"/><Relationship Id="rId656" Type="http://schemas.openxmlformats.org/officeDocument/2006/relationships/hyperlink" Target="https://www.eldiario.es/politica/Pablo-Casado-exaltacion-franquismo-probidida_0_838516217.html" TargetMode="External"/><Relationship Id="rId863" Type="http://schemas.openxmlformats.org/officeDocument/2006/relationships/hyperlink" Target="https://pbs.twimg.com/media/Dsl_NCQUwAEWVoD.jpg" TargetMode="External"/><Relationship Id="rId1079" Type="http://schemas.openxmlformats.org/officeDocument/2006/relationships/hyperlink" Target="https://ctxt.es/es/20181121/Politica/22989/manu-garrido-elecciones-andaluc%C3%ADa-PP-Pablo-casado-campa%C3%B1a-sin-candidato-VOX.htm" TargetMode="External"/><Relationship Id="rId1286" Type="http://schemas.openxmlformats.org/officeDocument/2006/relationships/hyperlink" Target="https://diario6.com/pablo-casado-el-hombre-que-cobra-1-842-euros-en-dietas-por-ser-diputado-por-avila-pero-que-vive-y-vota-en-madrid/" TargetMode="External"/><Relationship Id="rId1493" Type="http://schemas.openxmlformats.org/officeDocument/2006/relationships/hyperlink" Target="https://pbs.twimg.com/media/Dsc9zYQXcAAylY4.jpg" TargetMode="External"/><Relationship Id="rId2032" Type="http://schemas.openxmlformats.org/officeDocument/2006/relationships/hyperlink" Target="http://www.periodistadigital.com/" TargetMode="External"/><Relationship Id="rId2337" Type="http://schemas.openxmlformats.org/officeDocument/2006/relationships/hyperlink" Target="http://ow.ly/vAKv30mF9Oz" TargetMode="External"/><Relationship Id="rId2544" Type="http://schemas.openxmlformats.org/officeDocument/2006/relationships/hyperlink" Target="http://www.guerraeterna.com/pablo-casado-contra-la-historia/" TargetMode="External"/><Relationship Id="rId2891" Type="http://schemas.openxmlformats.org/officeDocument/2006/relationships/hyperlink" Target="https://www.huffingtonpost.es/2018/11/17/pablo-casado-los-espanoles-no-colonizabamos-lo-que-haciamos-era-tener-una-espana-mas-grande_a_23592393/?utm_hp_ref=es-homepage" TargetMode="External"/><Relationship Id="rId211" Type="http://schemas.openxmlformats.org/officeDocument/2006/relationships/hyperlink" Target="https://www.eldiario.es/escolar/Pablo-Casado-Poder-Judicial-Cosido_6_838576166.html" TargetMode="External"/><Relationship Id="rId309" Type="http://schemas.openxmlformats.org/officeDocument/2006/relationships/hyperlink" Target="https://pbs.twimg.com/media/Dsq6pZ_XQAAgYrV.jpg" TargetMode="External"/><Relationship Id="rId516" Type="http://schemas.openxmlformats.org/officeDocument/2006/relationships/hyperlink" Target="http://atres.red/ugnrl1" TargetMode="External"/><Relationship Id="rId1146" Type="http://schemas.openxmlformats.org/officeDocument/2006/relationships/hyperlink" Target="https://pbs.twimg.com/media/Dsh03qeVYAAiHsp.jpg" TargetMode="External"/><Relationship Id="rId1798" Type="http://schemas.openxmlformats.org/officeDocument/2006/relationships/hyperlink" Target="https://twitter.com/jotaderos/status/1063750246684127233?s=19" TargetMode="External"/><Relationship Id="rId2751" Type="http://schemas.openxmlformats.org/officeDocument/2006/relationships/hyperlink" Target="http://eldiario.es/" TargetMode="External"/><Relationship Id="rId2849" Type="http://schemas.openxmlformats.org/officeDocument/2006/relationships/hyperlink" Target="https://pbs.twimg.com/media/DsR27jkX4AAQKSV.jpg" TargetMode="External"/><Relationship Id="rId723" Type="http://schemas.openxmlformats.org/officeDocument/2006/relationships/hyperlink" Target="https://pbs.twimg.com/media/Dsm9Wk8WwAIMSQI.jpg" TargetMode="External"/><Relationship Id="rId930" Type="http://schemas.openxmlformats.org/officeDocument/2006/relationships/hyperlink" Target="http://moncloa.com/" TargetMode="External"/><Relationship Id="rId1006" Type="http://schemas.openxmlformats.org/officeDocument/2006/relationships/hyperlink" Target="https://www.libertaddigital.com/espana/2018-11-21/pedro-sanchez-pide-a-casado-y-rufian-que-pidan-discupas-por-el-escupitajo-de-erc-a-borell-1276628638/" TargetMode="External"/><Relationship Id="rId1353" Type="http://schemas.openxmlformats.org/officeDocument/2006/relationships/hyperlink" Target="http://pic.twitter.com/DY6DHPAAXU" TargetMode="External"/><Relationship Id="rId1560" Type="http://schemas.openxmlformats.org/officeDocument/2006/relationships/hyperlink" Target="http://www.gppopular.es/diputados/santiago-perez-lopez/" TargetMode="External"/><Relationship Id="rId1658" Type="http://schemas.openxmlformats.org/officeDocument/2006/relationships/hyperlink" Target="https://www.eljueves.es/news/especial-20n-%7C-pp-propone-a-franco-para-premio-nobel-paz_2836/amp?utm_source=twitter&amp;utm_medium=social&amp;utm_campaign=trafico&amp;__twitter_impression=true" TargetMode="External"/><Relationship Id="rId1865" Type="http://schemas.openxmlformats.org/officeDocument/2006/relationships/hyperlink" Target="http://www.multiforo.eu/" TargetMode="External"/><Relationship Id="rId2404" Type="http://schemas.openxmlformats.org/officeDocument/2006/relationships/hyperlink" Target="http://gasteiz.ehbildu.net/" TargetMode="External"/><Relationship Id="rId2611" Type="http://schemas.openxmlformats.org/officeDocument/2006/relationships/hyperlink" Target="http://www.lasexta.com/noticias/" TargetMode="External"/><Relationship Id="rId2709" Type="http://schemas.openxmlformats.org/officeDocument/2006/relationships/hyperlink" Target="http://www.guerraeterna.com/pablo-casado-contra-la-historia/" TargetMode="External"/><Relationship Id="rId1213" Type="http://schemas.openxmlformats.org/officeDocument/2006/relationships/hyperlink" Target="http://www.jcdiez.com/2018/07/23/pablo-casado-y-la-economia-vudu/" TargetMode="External"/><Relationship Id="rId1420" Type="http://schemas.openxmlformats.org/officeDocument/2006/relationships/hyperlink" Target="http://politica.elpais.com/" TargetMode="External"/><Relationship Id="rId1518" Type="http://schemas.openxmlformats.org/officeDocument/2006/relationships/hyperlink" Target="https://pbs.twimg.com/media/DsczlYRWoAEE9tq.jpg" TargetMode="External"/><Relationship Id="rId2916" Type="http://schemas.openxmlformats.org/officeDocument/2006/relationships/hyperlink" Target="http://www.directtravel.es/" TargetMode="External"/><Relationship Id="rId1725" Type="http://schemas.openxmlformats.org/officeDocument/2006/relationships/hyperlink" Target="http://ow.ly/NP9230mGfhp" TargetMode="External"/><Relationship Id="rId1932" Type="http://schemas.openxmlformats.org/officeDocument/2006/relationships/hyperlink" Target="http://pic.twitter.com/55Zw3ay3F2" TargetMode="External"/><Relationship Id="rId17" Type="http://schemas.openxmlformats.org/officeDocument/2006/relationships/hyperlink" Target="https://www.facebook.com/jesus.fernandez.102977" TargetMode="External"/><Relationship Id="rId2194" Type="http://schemas.openxmlformats.org/officeDocument/2006/relationships/hyperlink" Target="http://www.manuelhuerga.com/" TargetMode="External"/><Relationship Id="rId166" Type="http://schemas.openxmlformats.org/officeDocument/2006/relationships/hyperlink" Target="https://www.facebook.com/JMPCAN" TargetMode="External"/><Relationship Id="rId373" Type="http://schemas.openxmlformats.org/officeDocument/2006/relationships/hyperlink" Target="http://www.cloudparaguay.app/" TargetMode="External"/><Relationship Id="rId580" Type="http://schemas.openxmlformats.org/officeDocument/2006/relationships/hyperlink" Target="http://www.huffingtonpost.es/" TargetMode="External"/><Relationship Id="rId2054" Type="http://schemas.openxmlformats.org/officeDocument/2006/relationships/hyperlink" Target="http://diario16.com/denunciado-fiscal-pidio-archivo-del-caso-master-pablo-casado/" TargetMode="External"/><Relationship Id="rId2261" Type="http://schemas.openxmlformats.org/officeDocument/2006/relationships/hyperlink" Target="https://www.elmundo.es/espana/2018/11/19/5bf1b311268e3e5c418b45ab.html" TargetMode="External"/><Relationship Id="rId2499" Type="http://schemas.openxmlformats.org/officeDocument/2006/relationships/hyperlink" Target="http://huelvaya.es/2018/11/18/pablo-casado-visita-cartaya-lepe-ayamonte-e-isla-este-lunes/" TargetMode="External"/><Relationship Id="rId1" Type="http://schemas.openxmlformats.org/officeDocument/2006/relationships/hyperlink" Target="http://dlvr.it/QrxJ0W" TargetMode="External"/><Relationship Id="rId233" Type="http://schemas.openxmlformats.org/officeDocument/2006/relationships/hyperlink" Target="https://www.eljueves.es/news/pablo-casado-intenta-comprar-remesa-esclavos-black-friday_2970?utm_source=twitter&amp;utm_medium=social&amp;utm_campaign=trafico" TargetMode="External"/><Relationship Id="rId440" Type="http://schemas.openxmlformats.org/officeDocument/2006/relationships/hyperlink" Target="https://www.eldiario.es/escolar/Pablo-Casado-Poder-Judicial-Cosido_6_838576166.html" TargetMode="External"/><Relationship Id="rId678" Type="http://schemas.openxmlformats.org/officeDocument/2006/relationships/hyperlink" Target="http://www.enblau.com/es/" TargetMode="External"/><Relationship Id="rId885" Type="http://schemas.openxmlformats.org/officeDocument/2006/relationships/hyperlink" Target="http://www.huffingtonpost.es/" TargetMode="External"/><Relationship Id="rId1070" Type="http://schemas.openxmlformats.org/officeDocument/2006/relationships/hyperlink" Target="https://www.cinconoticias.com/el-huevo-o-la-gallina-fisica-cuantica-resuelve-paradoja/" TargetMode="External"/><Relationship Id="rId2121" Type="http://schemas.openxmlformats.org/officeDocument/2006/relationships/hyperlink" Target="http://ciudadreal.ciudadanos-cs.org/" TargetMode="External"/><Relationship Id="rId2359" Type="http://schemas.openxmlformats.org/officeDocument/2006/relationships/hyperlink" Target="https://www.huffingtonpost.es/2018/11/17/pablo-casado-los-espanoles-no-colonizabamos-lo-que-haciamos-era-tener-una-espana-mas-grande_a_23592393/" TargetMode="External"/><Relationship Id="rId2566" Type="http://schemas.openxmlformats.org/officeDocument/2006/relationships/hyperlink" Target="http://www.multiforo.eu/" TargetMode="External"/><Relationship Id="rId2773" Type="http://schemas.openxmlformats.org/officeDocument/2006/relationships/hyperlink" Target="https://www.youtube.com/channel/UCY60GBj-H8SmayRG1UgDVWw" TargetMode="External"/><Relationship Id="rId300" Type="http://schemas.openxmlformats.org/officeDocument/2006/relationships/hyperlink" Target="https://www.eldiario.es/_31fba826" TargetMode="External"/><Relationship Id="rId538" Type="http://schemas.openxmlformats.org/officeDocument/2006/relationships/hyperlink" Target="http://ontheroadtoday.com/news/fernandez-manueco-llama-a-los-populares-a-llevar-en-volandas-a-pablo-casado-a-la-moncloa/" TargetMode="External"/><Relationship Id="rId745" Type="http://schemas.openxmlformats.org/officeDocument/2006/relationships/hyperlink" Target="https://www.europapress.es/nacional/noticia-casado-no-cree-cosido-escribiera-whatsapp-desconoce-quien-hizo-no-me-importa-porque-rechazo-igual-20181122095547.html" TargetMode="External"/><Relationship Id="rId952" Type="http://schemas.openxmlformats.org/officeDocument/2006/relationships/hyperlink" Target="http://diario6.com/pablo-casado-el-hombre-que-cobra-1-842-euros-en-dietas-por-ser-diputado-por-avila-pero-que-vive-y-vota-en-madrid/" TargetMode="External"/><Relationship Id="rId1168" Type="http://schemas.openxmlformats.org/officeDocument/2006/relationships/hyperlink" Target="http://www.rockfm.fm/elpirataysubanda" TargetMode="External"/><Relationship Id="rId1375" Type="http://schemas.openxmlformats.org/officeDocument/2006/relationships/hyperlink" Target="https://youtu.be/QROdJCONfvc" TargetMode="External"/><Relationship Id="rId1582" Type="http://schemas.openxmlformats.org/officeDocument/2006/relationships/hyperlink" Target="http://www.expansion.com/" TargetMode="External"/><Relationship Id="rId2219" Type="http://schemas.openxmlformats.org/officeDocument/2006/relationships/hyperlink" Target="https://www.eldiario.es/_31e5622c" TargetMode="External"/><Relationship Id="rId2426"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633" Type="http://schemas.openxmlformats.org/officeDocument/2006/relationships/hyperlink" Target="https://goo.gl/moCs5P" TargetMode="External"/><Relationship Id="rId81" Type="http://schemas.openxmlformats.org/officeDocument/2006/relationships/hyperlink" Target="http://bit.ly/2DFVtyo" TargetMode="External"/><Relationship Id="rId605" Type="http://schemas.openxmlformats.org/officeDocument/2006/relationships/hyperlink" Target="https://pbs.twimg.com/media/Dsn9qyeXQAISCX4.jpg" TargetMode="External"/><Relationship Id="rId812" Type="http://schemas.openxmlformats.org/officeDocument/2006/relationships/hyperlink" Target="http://www.elmundo.es/espana.html" TargetMode="External"/><Relationship Id="rId1028" Type="http://schemas.openxmlformats.org/officeDocument/2006/relationships/hyperlink" Target="https://www.eljueves.es/news/pablo-casado-propone-invadir-polonia-para-hacer-espana-mas-grande_2959" TargetMode="External"/><Relationship Id="rId1235" Type="http://schemas.openxmlformats.org/officeDocument/2006/relationships/hyperlink" Target="https://pbs.twimg.com/media/DshC_gCXoAAUDAV.jpg" TargetMode="External"/><Relationship Id="rId1442" Type="http://schemas.openxmlformats.org/officeDocument/2006/relationships/hyperlink" Target="http://esradio.libertaddigital.com/es-la-tarde-de-dieter/" TargetMode="External"/><Relationship Id="rId1887" Type="http://schemas.openxmlformats.org/officeDocument/2006/relationships/hyperlink" Target="https://twitter.com/saludhernandezm/status/1064476337451220992" TargetMode="External"/><Relationship Id="rId2840" Type="http://schemas.openxmlformats.org/officeDocument/2006/relationships/hyperlink" Target="http://blogs.libertaddigital.com/enigmas-del-11-m/pablo-casado-entrega-la-justicia-a-pedro-sanchez-15104/" TargetMode="External"/><Relationship Id="rId2938" Type="http://schemas.openxmlformats.org/officeDocument/2006/relationships/hyperlink" Target="https://m.huffingtonpost.es/amp/2018/11/17/pablo-casado-los-espanoles-no-colonizabamos-lo-que-haciamos-era-tener-una-espana-mas-grande_a_23592393/" TargetMode="External"/><Relationship Id="rId1302" Type="http://schemas.openxmlformats.org/officeDocument/2006/relationships/hyperlink" Target="https://libertadfm.es/2018/11/21/duelo-de-sanchez-y-casado-hoy-en-el-congreso-tras-romper-el-pacto-del-cgpj/" TargetMode="External"/><Relationship Id="rId1747" Type="http://schemas.openxmlformats.org/officeDocument/2006/relationships/hyperlink" Target="http://mosaicomercurio.blogspot.com/" TargetMode="External"/><Relationship Id="rId1954" Type="http://schemas.openxmlformats.org/officeDocument/2006/relationships/hyperlink" Target="http://elrincndedonnadie.blogspot.com/" TargetMode="External"/><Relationship Id="rId2700" Type="http://schemas.openxmlformats.org/officeDocument/2006/relationships/hyperlink" Target="http://www.guerraeterna.com/pablo-casado-contra-la-historia/" TargetMode="External"/><Relationship Id="rId39" Type="http://schemas.openxmlformats.org/officeDocument/2006/relationships/hyperlink" Target="http://www.juancarlosromero.wordpress.com/" TargetMode="External"/><Relationship Id="rId1607" Type="http://schemas.openxmlformats.org/officeDocument/2006/relationships/hyperlink" Target="http://www.antena3.com/noticias/" TargetMode="External"/><Relationship Id="rId1814" Type="http://schemas.openxmlformats.org/officeDocument/2006/relationships/hyperlink" Target="https://youtu.be/WbcOau_ZpBA" TargetMode="External"/><Relationship Id="rId188" Type="http://schemas.openxmlformats.org/officeDocument/2006/relationships/hyperlink" Target="https://www.eljueves.es/news/pablo-casado-intenta-comprar-remesa-esclavos-black-friday_2970?utm_source=facebook&amp;utm_medium=social&amp;utm_campaign=trafico" TargetMode="External"/><Relationship Id="rId395" Type="http://schemas.openxmlformats.org/officeDocument/2006/relationships/hyperlink" Target="https://m.eldiario.es/_31fba826" TargetMode="External"/><Relationship Id="rId2076" Type="http://schemas.openxmlformats.org/officeDocument/2006/relationships/hyperlink" Target="https://www.elnacional.cat/ca/politica/pablo-casado-exhuma-retorica-franquista-reclama-gibraltar-espanyol_325791_102_amp.html?__twitter_impression=true" TargetMode="External"/><Relationship Id="rId2283" Type="http://schemas.openxmlformats.org/officeDocument/2006/relationships/hyperlink" Target="https://www.20minutos.es/noticia/3494665/0/pablo-casado-reivindica-gibraltar-espanol-culpa-sanchez-traicion/?utm_source=twitter.com&amp;utm_medium=socialshare&amp;utm_campaign=mobile_web" TargetMode="External"/><Relationship Id="rId2490" Type="http://schemas.openxmlformats.org/officeDocument/2006/relationships/hyperlink" Target="https://pbs.twimg.com/media/DsTfc86WoAQRHTv.jpg" TargetMode="External"/><Relationship Id="rId2588" Type="http://schemas.openxmlformats.org/officeDocument/2006/relationships/hyperlink" Target="http://www.lagacetadesalamanca.es/" TargetMode="External"/><Relationship Id="rId255" Type="http://schemas.openxmlformats.org/officeDocument/2006/relationships/hyperlink" Target="http://pic.twitter.com/uDjZIIlmTx" TargetMode="External"/><Relationship Id="rId462" Type="http://schemas.openxmlformats.org/officeDocument/2006/relationships/hyperlink" Target="https://twitter.com/gabrielrufian/status/1065668592472080385" TargetMode="External"/><Relationship Id="rId1092" Type="http://schemas.openxmlformats.org/officeDocument/2006/relationships/hyperlink" Target="http://www.alcantarillasocial.com/author/xuxipc/" TargetMode="External"/><Relationship Id="rId1397" Type="http://schemas.openxmlformats.org/officeDocument/2006/relationships/hyperlink" Target="http://www.huffingtonpost.es/" TargetMode="External"/><Relationship Id="rId2143" Type="http://schemas.openxmlformats.org/officeDocument/2006/relationships/hyperlink" Target="http://somosecd.com/hk2iz4" TargetMode="External"/><Relationship Id="rId2350" Type="http://schemas.openxmlformats.org/officeDocument/2006/relationships/hyperlink" Target="http://www.facebook.es/prsardinero" TargetMode="External"/><Relationship Id="rId2795" Type="http://schemas.openxmlformats.org/officeDocument/2006/relationships/hyperlink" Target="http://blogs.libertaddigital.com/enigmas-del-11-m/pablo-casado-entrega-la-justicia-a-pedro-sanchez-15104/" TargetMode="External"/><Relationship Id="rId115" Type="http://schemas.openxmlformats.org/officeDocument/2006/relationships/hyperlink" Target="https://m.eldiario.es/_31fba826" TargetMode="External"/><Relationship Id="rId322" Type="http://schemas.openxmlformats.org/officeDocument/2006/relationships/hyperlink" Target="https://pbs.twimg.com/media/Dsq3wTPXcAAxUXR.jpg" TargetMode="External"/><Relationship Id="rId767" Type="http://schemas.openxmlformats.org/officeDocument/2006/relationships/hyperlink" Target="http://www.eldebatedehoy.es/" TargetMode="External"/><Relationship Id="rId974" Type="http://schemas.openxmlformats.org/officeDocument/2006/relationships/hyperlink" Target="https://www.libertaddigital.com/espana/2018-11-21/pedro-sanchez-pide-a-casado-y-rufian-que-pidan-discupas-por-el-escupitajo-de-erc-a-borell-1276628638/" TargetMode="External"/><Relationship Id="rId2003" Type="http://schemas.openxmlformats.org/officeDocument/2006/relationships/hyperlink" Target="http://www.eldiario.es/" TargetMode="External"/><Relationship Id="rId2210" Type="http://schemas.openxmlformats.org/officeDocument/2006/relationships/hyperlink" Target="http://facebook.com/kodiario/" TargetMode="External"/><Relationship Id="rId2448" Type="http://schemas.openxmlformats.org/officeDocument/2006/relationships/hyperlink" Target="http://www.guerraeterna.com/pablo-casado-contra-la-historia/" TargetMode="External"/><Relationship Id="rId2655" Type="http://schemas.openxmlformats.org/officeDocument/2006/relationships/hyperlink" Target="http://elnortedecastilla.es/" TargetMode="External"/><Relationship Id="rId2862" Type="http://schemas.openxmlformats.org/officeDocument/2006/relationships/hyperlink" Target="http://elpais.com/autor/natalia_junquera/a/" TargetMode="External"/><Relationship Id="rId627" Type="http://schemas.openxmlformats.org/officeDocument/2006/relationships/hyperlink" Target="https://m.eldiario.es/_31fabdf9" TargetMode="External"/><Relationship Id="rId834" Type="http://schemas.openxmlformats.org/officeDocument/2006/relationships/hyperlink" Target="https://pbs.twimg.com/media/DsmcM-1XQAEjqnC.jpg" TargetMode="External"/><Relationship Id="rId1257" Type="http://schemas.openxmlformats.org/officeDocument/2006/relationships/hyperlink" Target="https://www.elnacional.cat/es/politica/pedro-sanchez-pablo-casado-poder-judicial_326823_102.html" TargetMode="External"/><Relationship Id="rId1464" Type="http://schemas.openxmlformats.org/officeDocument/2006/relationships/hyperlink" Target="http://www.convivenciaysolidaridad.blogspot.com/" TargetMode="External"/><Relationship Id="rId1671" Type="http://schemas.openxmlformats.org/officeDocument/2006/relationships/hyperlink" Target="https://www.facebook.com/jesus.fernandez.102977" TargetMode="External"/><Relationship Id="rId2308" Type="http://schemas.openxmlformats.org/officeDocument/2006/relationships/hyperlink" Target="https://ift.tt/2QUoLge" TargetMode="External"/><Relationship Id="rId2515" Type="http://schemas.openxmlformats.org/officeDocument/2006/relationships/hyperlink" Target="https://pbs.twimg.com/media/DsTcgeIXgAAVUh6.jpg" TargetMode="External"/><Relationship Id="rId2722" Type="http://schemas.openxmlformats.org/officeDocument/2006/relationships/hyperlink" Target="https://www.elmundo.es/andalucia/2018/11/18/5bf1600fe2704ed9718b45f0.html" TargetMode="External"/><Relationship Id="rId901" Type="http://schemas.openxmlformats.org/officeDocument/2006/relationships/hyperlink" Target="http://dominbenito.wordpress.com/" TargetMode="External"/><Relationship Id="rId1117" Type="http://schemas.openxmlformats.org/officeDocument/2006/relationships/hyperlink" Target="http://calaixinformatiu.wordpress.com/" TargetMode="External"/><Relationship Id="rId1324" Type="http://schemas.openxmlformats.org/officeDocument/2006/relationships/hyperlink" Target="https://diario6.com/pablo-casado-el-hombre-que-cobra-1-842-euros-en-dietas-por-ser-diputado-por-avila-pero-que-vive-y-vota-en-madrid/" TargetMode="External"/><Relationship Id="rId1531" Type="http://schemas.openxmlformats.org/officeDocument/2006/relationships/hyperlink" Target="https://itunes.apple.com/es/book/gettysburg-1863/id665369445?mt=11" TargetMode="External"/><Relationship Id="rId1769" Type="http://schemas.openxmlformats.org/officeDocument/2006/relationships/hyperlink" Target="http://www.eldiario.es/" TargetMode="External"/><Relationship Id="rId1976" Type="http://schemas.openxmlformats.org/officeDocument/2006/relationships/hyperlink" Target="https://pbs.twimg.com/media/DsYUqKxX4AEwRXb.jpg" TargetMode="External"/><Relationship Id="rId30" Type="http://schemas.openxmlformats.org/officeDocument/2006/relationships/hyperlink" Target="https://diario6.com/el-jefe-de-prensa-de-pablo-casado-esta-imputado-por-fraude-malversacion-y-trafico-de-influencias/" TargetMode="External"/><Relationship Id="rId1629" Type="http://schemas.openxmlformats.org/officeDocument/2006/relationships/hyperlink" Target="http://atres.red/4ncii5663" TargetMode="External"/><Relationship Id="rId1836" Type="http://schemas.openxmlformats.org/officeDocument/2006/relationships/hyperlink" Target="http://www.elperiodico.cat/" TargetMode="External"/><Relationship Id="rId1903" Type="http://schemas.openxmlformats.org/officeDocument/2006/relationships/hyperlink" Target="https://www.facebook.com/722149024541998/posts/1947763785313843/" TargetMode="External"/><Relationship Id="rId2098" Type="http://schemas.openxmlformats.org/officeDocument/2006/relationships/hyperlink" Target="http://www.suntanningsl.com/" TargetMode="External"/><Relationship Id="rId277" Type="http://schemas.openxmlformats.org/officeDocument/2006/relationships/hyperlink" Target="http://www.eldiario.es/" TargetMode="External"/><Relationship Id="rId484" Type="http://schemas.openxmlformats.org/officeDocument/2006/relationships/hyperlink" Target="http://silviavelazquezmiranda.blogspot.com/" TargetMode="External"/><Relationship Id="rId2165" Type="http://schemas.openxmlformats.org/officeDocument/2006/relationships/hyperlink" Target="https://www.elmundo.es/andalucia/2018/11/19/5bf1c941268e3e13678b459f.html" TargetMode="External"/><Relationship Id="rId137" Type="http://schemas.openxmlformats.org/officeDocument/2006/relationships/hyperlink" Target="https://youtu.be/3I6uSboAxhE" TargetMode="External"/><Relationship Id="rId344" Type="http://schemas.openxmlformats.org/officeDocument/2006/relationships/hyperlink" Target="https://www.eldiario.es/_31fba826" TargetMode="External"/><Relationship Id="rId691" Type="http://schemas.openxmlformats.org/officeDocument/2006/relationships/hyperlink" Target="https://librodepoesia.com/producto/miserias-daniel-vinambres/" TargetMode="External"/><Relationship Id="rId789" Type="http://schemas.openxmlformats.org/officeDocument/2006/relationships/hyperlink" Target="https://pbs.twimg.com/media/Dsmr2hbXgAAg_bB.jpg" TargetMode="External"/><Relationship Id="rId996" Type="http://schemas.openxmlformats.org/officeDocument/2006/relationships/hyperlink" Target="https://www.libertaddigital.com/espana/2018-11-21/pedro-sanchez-pide-a-casado-y-rufian-que-pidan-discupas-por-el-escupitajo-de-erc-a-borell-1276628638/" TargetMode="External"/><Relationship Id="rId2025" Type="http://schemas.openxmlformats.org/officeDocument/2006/relationships/hyperlink" Target="http://riquiblog.blogspot.com/" TargetMode="External"/><Relationship Id="rId2372" Type="http://schemas.openxmlformats.org/officeDocument/2006/relationships/hyperlink" Target="http://www.eldebatedehoy.es/" TargetMode="External"/><Relationship Id="rId2677" Type="http://schemas.openxmlformats.org/officeDocument/2006/relationships/hyperlink" Target="https://www.elmundo.es/andalucia/2018/11/18/5bf1600fe2704ed9718b45f0.html" TargetMode="External"/><Relationship Id="rId2884"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551" Type="http://schemas.openxmlformats.org/officeDocument/2006/relationships/hyperlink" Target="https://youtu.be/jybqW6AZOQ0" TargetMode="External"/><Relationship Id="rId649" Type="http://schemas.openxmlformats.org/officeDocument/2006/relationships/hyperlink" Target="http://www.elnacional.cat/es/" TargetMode="External"/><Relationship Id="rId856" Type="http://schemas.openxmlformats.org/officeDocument/2006/relationships/hyperlink" Target="https://pbs.twimg.com/media/DsmK_I6XoAAfjBx.jpg" TargetMode="External"/><Relationship Id="rId1181" Type="http://schemas.openxmlformats.org/officeDocument/2006/relationships/hyperlink" Target="http://bit.ly/2aBX4nT" TargetMode="External"/><Relationship Id="rId1279" Type="http://schemas.openxmlformats.org/officeDocument/2006/relationships/hyperlink" Target="http://gasteiz.ehbildu.net/" TargetMode="External"/><Relationship Id="rId1486" Type="http://schemas.openxmlformats.org/officeDocument/2006/relationships/hyperlink" Target="http://diario16.com/cosido-me-siento-plenamente-respaldado-pablo-casado/" TargetMode="External"/><Relationship Id="rId2232" Type="http://schemas.openxmlformats.org/officeDocument/2006/relationships/hyperlink" Target="https://pbs.twimg.com/media/DsWjwHvWkAE6zDy.jpg" TargetMode="External"/><Relationship Id="rId2537" Type="http://schemas.openxmlformats.org/officeDocument/2006/relationships/hyperlink" Target="https://m.eldiario.es/_312a7b41" TargetMode="External"/><Relationship Id="rId204" Type="http://schemas.openxmlformats.org/officeDocument/2006/relationships/hyperlink" Target="https://stopsucesiones.org/%f0%9f%9b%91el-presidente-del-partido-popular-pablo-casado-se-compromete-con-stop-sucesiones-a-suprimir-el-impuesto-a-las-herencias-en-toda-espana/" TargetMode="External"/><Relationship Id="rId411" Type="http://schemas.openxmlformats.org/officeDocument/2006/relationships/hyperlink" Target="https://justoperezblog.wordpress.com/" TargetMode="External"/><Relationship Id="rId509" Type="http://schemas.openxmlformats.org/officeDocument/2006/relationships/hyperlink" Target="https://www.instagram.com/nicarpio_da/" TargetMode="External"/><Relationship Id="rId1041" Type="http://schemas.openxmlformats.org/officeDocument/2006/relationships/hyperlink" Target="http://diario16.com/denunciado-fiscal-pidio-archivo-del-caso-master-pablo-casado/" TargetMode="External"/><Relationship Id="rId1139" Type="http://schemas.openxmlformats.org/officeDocument/2006/relationships/hyperlink" Target="https://capitaldeporte.com/author/bartomeu-riera/" TargetMode="External"/><Relationship Id="rId1346" Type="http://schemas.openxmlformats.org/officeDocument/2006/relationships/hyperlink" Target="https://www.ecorepublicano.es/2018/11/anabel-alonso-destroza-pablo-casado-en.html" TargetMode="External"/><Relationship Id="rId1693" Type="http://schemas.openxmlformats.org/officeDocument/2006/relationships/hyperlink" Target="https://www.eitb.eus/es/radio/radio-euskadi/programas/boulevard/detalle/6004305/ian-gibson-habla-derecha-espanola-presenta-vida-muerte-lorca/" TargetMode="External"/><Relationship Id="rId1998" Type="http://schemas.openxmlformats.org/officeDocument/2006/relationships/hyperlink" Target="http://pic.twitter.com/BZfLwWGgdK" TargetMode="External"/><Relationship Id="rId2744" Type="http://schemas.openxmlformats.org/officeDocument/2006/relationships/hyperlink" Target="https://itunes.apple.com/es/book/gettysburg-1863/id665369445?mt=11" TargetMode="External"/><Relationship Id="rId2951" Type="http://schemas.openxmlformats.org/officeDocument/2006/relationships/hyperlink" Target="http://www.libertaddigital.com/opinion/fray-josepho/" TargetMode="External"/><Relationship Id="rId716" Type="http://schemas.openxmlformats.org/officeDocument/2006/relationships/hyperlink" Target="https://pbs.twimg.com/media/DsnBgVRW0AcBVPf.jpg" TargetMode="External"/><Relationship Id="rId923" Type="http://schemas.openxmlformats.org/officeDocument/2006/relationships/hyperlink" Target="http://bit.ly/2QWoKIK" TargetMode="External"/><Relationship Id="rId1553" Type="http://schemas.openxmlformats.org/officeDocument/2006/relationships/hyperlink" Target="http://www.lavozdelbecario.es/" TargetMode="External"/><Relationship Id="rId1760" Type="http://schemas.openxmlformats.org/officeDocument/2006/relationships/hyperlink" Target="https://okdiario.com/general/2018/11/19/casado-suma-idea-del-adelanto-electoral-pp-esta-preparado-ganar-3367348" TargetMode="External"/><Relationship Id="rId1858" Type="http://schemas.openxmlformats.org/officeDocument/2006/relationships/hyperlink" Target="http://productocero.org/" TargetMode="External"/><Relationship Id="rId2604" Type="http://schemas.openxmlformats.org/officeDocument/2006/relationships/hyperlink" Target="https://pbs.twimg.com/media/DsNLOnEXQAEoUnD.jpg" TargetMode="External"/><Relationship Id="rId2811" Type="http://schemas.openxmlformats.org/officeDocument/2006/relationships/hyperlink" Target="https://www.lavanguardia.com/politica/20181117/452992780484/pablo-casado-espana-no-colonizaba-tener-espana-mas-grande.html" TargetMode="External"/><Relationship Id="rId52" Type="http://schemas.openxmlformats.org/officeDocument/2006/relationships/hyperlink" Target="https://www.eldiario.es/_31fba826" TargetMode="External"/><Relationship Id="rId1206" Type="http://schemas.openxmlformats.org/officeDocument/2006/relationships/hyperlink" Target="https://latribunadelpaisvasco.com/art/10036/pablo-casado-credos-que-acaban-en-una-radicalizacion-violenta-no-tienen-cabida-en-espana" TargetMode="External"/><Relationship Id="rId1413" Type="http://schemas.openxmlformats.org/officeDocument/2006/relationships/hyperlink" Target="https://www.elmundotoday.com/2018/11/pedro-sanchez-y-pablo-casado-trabajaran-como-jueces-por-las-tardes-mientras-no-se-escoja-a-un-nuevo-presidente-del-poder-judicial/" TargetMode="External"/><Relationship Id="rId1620" Type="http://schemas.openxmlformats.org/officeDocument/2006/relationships/hyperlink" Target="http://pic.twitter.com/dVLHKSaQOc" TargetMode="External"/><Relationship Id="rId2909" Type="http://schemas.openxmlformats.org/officeDocument/2006/relationships/hyperlink" Target="https://okdiario.com/autor/liberal" TargetMode="External"/><Relationship Id="rId1718" Type="http://schemas.openxmlformats.org/officeDocument/2006/relationships/hyperlink" Target="http://www.e24diari.es/texto-diario/mostrar/1249471/alejandro-fernandez-apuesta-pp-catalan-volver-origenes" TargetMode="External"/><Relationship Id="rId1925" Type="http://schemas.openxmlformats.org/officeDocument/2006/relationships/hyperlink" Target="https://okdiario.com/general/2018/11/19/casado-suma-idea-del-adelanto-electoral-pp-esta-preparado-ganar-3367348" TargetMode="External"/><Relationship Id="rId299" Type="http://schemas.openxmlformats.org/officeDocument/2006/relationships/hyperlink" Target="http://ceuta.psoe.es/" TargetMode="External"/><Relationship Id="rId2187" Type="http://schemas.openxmlformats.org/officeDocument/2006/relationships/hyperlink" Target="http://asocaura.uniovi.es/" TargetMode="External"/><Relationship Id="rId2394" Type="http://schemas.openxmlformats.org/officeDocument/2006/relationships/hyperlink" Target="http://eldiario.es/" TargetMode="External"/><Relationship Id="rId159" Type="http://schemas.openxmlformats.org/officeDocument/2006/relationships/hyperlink" Target="https://www.eldiario.es/_31fba826" TargetMode="External"/><Relationship Id="rId366" Type="http://schemas.openxmlformats.org/officeDocument/2006/relationships/hyperlink" Target="https://m.eldiario.es/_31fabdf9" TargetMode="External"/><Relationship Id="rId573" Type="http://schemas.openxmlformats.org/officeDocument/2006/relationships/hyperlink" Target="http://pic.twitter.com/4r430H7TgN" TargetMode="External"/><Relationship Id="rId780" Type="http://schemas.openxmlformats.org/officeDocument/2006/relationships/hyperlink" Target="https://www.veoinfo.com/pablo-casado-dice-que-la-exaltacion-del-franquismo-solo-deberia-estar-prohibida-si-es-violenta-como-la-del-comunismo/" TargetMode="External"/><Relationship Id="rId2047" Type="http://schemas.openxmlformats.org/officeDocument/2006/relationships/hyperlink" Target="https://pbs.twimg.com/media/DsXk_6kWsAAPuG4.jpg" TargetMode="External"/><Relationship Id="rId2254" Type="http://schemas.openxmlformats.org/officeDocument/2006/relationships/hyperlink" Target="https://pbs.twimg.com/media/DsWcA2PWsAAEiTM.jpg" TargetMode="External"/><Relationship Id="rId2461" Type="http://schemas.openxmlformats.org/officeDocument/2006/relationships/hyperlink" Target="https://amp.elmundo.es/andalucia/2018/11/18/5bf1600fe2704ed9718b45f0.html?__twitter_impression=true" TargetMode="External"/><Relationship Id="rId2699" Type="http://schemas.openxmlformats.org/officeDocument/2006/relationships/hyperlink" Target="http://www.lextres.com/" TargetMode="External"/><Relationship Id="rId226" Type="http://schemas.openxmlformats.org/officeDocument/2006/relationships/hyperlink" Target="https://www.eljueves.es/news/pablo-casado-intenta-comprar-remesa-esclavos-black-friday_2970" TargetMode="External"/><Relationship Id="rId433" Type="http://schemas.openxmlformats.org/officeDocument/2006/relationships/hyperlink" Target="https://m.eldiario.es/_31fba826" TargetMode="External"/><Relationship Id="rId878" Type="http://schemas.openxmlformats.org/officeDocument/2006/relationships/hyperlink" Target="http://novosmedios.gal/entroido" TargetMode="External"/><Relationship Id="rId1063" Type="http://schemas.openxmlformats.org/officeDocument/2006/relationships/hyperlink" Target="https://goo.gl/cbUVGj" TargetMode="External"/><Relationship Id="rId1270" Type="http://schemas.openxmlformats.org/officeDocument/2006/relationships/hyperlink" Target="http://jukeboxpretencioso.wordpress.com/" TargetMode="External"/><Relationship Id="rId2114" Type="http://schemas.openxmlformats.org/officeDocument/2006/relationships/hyperlink" Target="http://www.gallerosartesanos.com/" TargetMode="External"/><Relationship Id="rId2559" Type="http://schemas.openxmlformats.org/officeDocument/2006/relationships/hyperlink" Target="https://www.lavanguardia.com/politica/20181118/453010973750/pablo-casado-nuevo-155-catalunya-andalucia-ilegalizar-cup.html" TargetMode="External"/><Relationship Id="rId2766" Type="http://schemas.openxmlformats.org/officeDocument/2006/relationships/hyperlink" Target="https://pbs.twimg.com/media/DsSU8XNUUAALeWP.jpg" TargetMode="External"/><Relationship Id="rId2973" Type="http://schemas.openxmlformats.org/officeDocument/2006/relationships/hyperlink" Target="https://pbs.twimg.com/media/DsRFLe5XcAA3-0O.jpg" TargetMode="External"/><Relationship Id="rId640" Type="http://schemas.openxmlformats.org/officeDocument/2006/relationships/hyperlink" Target="https://www.eldiario.es/_31fabdf9" TargetMode="External"/><Relationship Id="rId738" Type="http://schemas.openxmlformats.org/officeDocument/2006/relationships/hyperlink" Target="http://cadenaser.com/programa/2018/11/21/hoy_por_hoy/1542803484_524062.html" TargetMode="External"/><Relationship Id="rId945" Type="http://schemas.openxmlformats.org/officeDocument/2006/relationships/hyperlink" Target="https://www.rafamorata.es/" TargetMode="External"/><Relationship Id="rId1368" Type="http://schemas.openxmlformats.org/officeDocument/2006/relationships/hyperlink" Target="http://www.lasexta.com/elintermedio" TargetMode="External"/><Relationship Id="rId1575" Type="http://schemas.openxmlformats.org/officeDocument/2006/relationships/hyperlink" Target="https://pbs.twimg.com/media/DscjFp4WkAUBXs8.jpg" TargetMode="External"/><Relationship Id="rId1782" Type="http://schemas.openxmlformats.org/officeDocument/2006/relationships/hyperlink" Target="https://www.youtube.com/c/alfilodelabrecha" TargetMode="External"/><Relationship Id="rId2321"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419" Type="http://schemas.openxmlformats.org/officeDocument/2006/relationships/hyperlink" Target="https://pbs.twimg.com/media/DsEppU8WkAY9HFE.jpg" TargetMode="External"/><Relationship Id="rId2626" Type="http://schemas.openxmlformats.org/officeDocument/2006/relationships/hyperlink" Target="https://www.20minutos.es/" TargetMode="External"/><Relationship Id="rId2833" Type="http://schemas.openxmlformats.org/officeDocument/2006/relationships/hyperlink" Target="https://pbs.twimg.com/media/DsR80u7XgAAYacm.jpg" TargetMode="External"/><Relationship Id="rId74" Type="http://schemas.openxmlformats.org/officeDocument/2006/relationships/hyperlink" Target="https://ift.tt/2FE7yqk" TargetMode="External"/><Relationship Id="rId500" Type="http://schemas.openxmlformats.org/officeDocument/2006/relationships/hyperlink" Target="https://www.eljueves.es/news/universidad-rey-juan-carlos-contrata-como-profesor-a-pablo-casado_2968" TargetMode="External"/><Relationship Id="rId805" Type="http://schemas.openxmlformats.org/officeDocument/2006/relationships/hyperlink" Target="https://www.facebook.com/PsychePsicologiaNV" TargetMode="External"/><Relationship Id="rId1130" Type="http://schemas.openxmlformats.org/officeDocument/2006/relationships/hyperlink" Target="http://bit.ly/2OTf2oH" TargetMode="External"/><Relationship Id="rId1228" Type="http://schemas.openxmlformats.org/officeDocument/2006/relationships/hyperlink" Target="http://www.arthegarn.com/" TargetMode="External"/><Relationship Id="rId1435" Type="http://schemas.openxmlformats.org/officeDocument/2006/relationships/hyperlink" Target="https://youtu.be/ex-7RzPCHas" TargetMode="External"/><Relationship Id="rId1642" Type="http://schemas.openxmlformats.org/officeDocument/2006/relationships/hyperlink" Target="https://stopsucesiones.org/%f0%9f%9b%91el-presidente-del-partido-popular-pablo-casado-se-compromete-con-stop-sucesiones-a-suprimir-el-impuesto-a-las-herencias-en-toda-espana/" TargetMode="External"/><Relationship Id="rId1947" Type="http://schemas.openxmlformats.org/officeDocument/2006/relationships/hyperlink" Target="http://www.americaneo.com/" TargetMode="External"/><Relationship Id="rId2900" Type="http://schemas.openxmlformats.org/officeDocument/2006/relationships/hyperlink" Target="http://blogs.libertaddigital.com/enigmas-del-11-m/pablo-casado-entrega-la-justicia-a-pedro-sanchez-15104/" TargetMode="External"/><Relationship Id="rId1502" Type="http://schemas.openxmlformats.org/officeDocument/2006/relationships/hyperlink" Target="http://desdeelespectador.blogspot.com/" TargetMode="External"/><Relationship Id="rId1807"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90" Type="http://schemas.openxmlformats.org/officeDocument/2006/relationships/hyperlink" Target="https://www.eljueves.es/news/universidad-rey-juan-carlos-contrata-como-profesor-a-pablo-casado_2968?utm_source=facebook&amp;utm_medium=social&amp;utm_campaign=trafico" TargetMode="External"/><Relationship Id="rId388" Type="http://schemas.openxmlformats.org/officeDocument/2006/relationships/hyperlink" Target="https://www.elnortedecastilla.es/nacional/casado-denuncia-cinismo-20181122120422-ntrc.html" TargetMode="External"/><Relationship Id="rId2069" Type="http://schemas.openxmlformats.org/officeDocument/2006/relationships/hyperlink" Target="https://twitter.com/pablocasado_/status/1063176784601067521" TargetMode="External"/><Relationship Id="rId150" Type="http://schemas.openxmlformats.org/officeDocument/2006/relationships/hyperlink" Target="https://www.eldiario.es/_31fba826" TargetMode="External"/><Relationship Id="rId595" Type="http://schemas.openxmlformats.org/officeDocument/2006/relationships/hyperlink" Target="https://es.yahoo.com/noticias/tensi%C3%B3n-pepa-pablo-casado-esperanza-102900929.html" TargetMode="External"/><Relationship Id="rId2276" Type="http://schemas.openxmlformats.org/officeDocument/2006/relationships/hyperlink" Target="http://veoinfo.com/" TargetMode="External"/><Relationship Id="rId2483" Type="http://schemas.openxmlformats.org/officeDocument/2006/relationships/hyperlink" Target="https://www.lavanguardia.com/politica/20181118/453010973750/pablo-casado-nuevo-155-catalunya-andalucia-ilegalizar-cup.html" TargetMode="External"/><Relationship Id="rId2690" Type="http://schemas.openxmlformats.org/officeDocument/2006/relationships/hyperlink" Target="http://instagram.com/quiquegonzlez5" TargetMode="External"/><Relationship Id="rId248" Type="http://schemas.openxmlformats.org/officeDocument/2006/relationships/hyperlink" Target="https://m.eldiario.es/_31fba826" TargetMode="External"/><Relationship Id="rId455" Type="http://schemas.openxmlformats.org/officeDocument/2006/relationships/hyperlink" Target="https://pbs.twimg.com/media/Dso3grOVYAAQneg.jpg" TargetMode="External"/><Relationship Id="rId662" Type="http://schemas.openxmlformats.org/officeDocument/2006/relationships/hyperlink" Target="http://pic.twitter.com/KdXM1nCdgu" TargetMode="External"/><Relationship Id="rId1085" Type="http://schemas.openxmlformats.org/officeDocument/2006/relationships/hyperlink" Target="http://diario16.com/denunciado-fiscal-pidio-archivo-del-caso-master-pablo-casado/" TargetMode="External"/><Relationship Id="rId1292" Type="http://schemas.openxmlformats.org/officeDocument/2006/relationships/hyperlink" Target="http://www.vozpopuli.com/" TargetMode="External"/><Relationship Id="rId2136" Type="http://schemas.openxmlformats.org/officeDocument/2006/relationships/hyperlink" Target="https://www.eldiario.es/politica/Casado-Andalucia-candidato-Juanma-Moreno_0_837116686.html" TargetMode="External"/><Relationship Id="rId2343" Type="http://schemas.openxmlformats.org/officeDocument/2006/relationships/hyperlink" Target="http://www.eldebatedehoy.es/" TargetMode="External"/><Relationship Id="rId2550" Type="http://schemas.openxmlformats.org/officeDocument/2006/relationships/hyperlink" Target="https://pbs.twimg.com/media/DsTPpEEXoAARU0B.jpg" TargetMode="External"/><Relationship Id="rId2788" Type="http://schemas.openxmlformats.org/officeDocument/2006/relationships/hyperlink" Target="https://ift.tt/2FsfQ4v" TargetMode="External"/><Relationship Id="rId108" Type="http://schemas.openxmlformats.org/officeDocument/2006/relationships/hyperlink" Target="https://m.eldiario.es/_31fba826" TargetMode="External"/><Relationship Id="rId315" Type="http://schemas.openxmlformats.org/officeDocument/2006/relationships/hyperlink" Target="https://www.eldiario.es/_31fba826" TargetMode="External"/><Relationship Id="rId522" Type="http://schemas.openxmlformats.org/officeDocument/2006/relationships/hyperlink" Target="http://encuadreslejanos.blogspot.com.es/" TargetMode="External"/><Relationship Id="rId967" Type="http://schemas.openxmlformats.org/officeDocument/2006/relationships/hyperlink" Target="https://www.elnacional.cat/ca/politica/pedro-sanchez-pablo-casado-poder-judicial_326823_102.html" TargetMode="External"/><Relationship Id="rId1152" Type="http://schemas.openxmlformats.org/officeDocument/2006/relationships/hyperlink" Target="http://colectivosilesia.net/" TargetMode="External"/><Relationship Id="rId1597" Type="http://schemas.openxmlformats.org/officeDocument/2006/relationships/hyperlink" Target="http://bit.ly/2Q5INaF" TargetMode="External"/><Relationship Id="rId2203" Type="http://schemas.openxmlformats.org/officeDocument/2006/relationships/hyperlink" Target="https://www.publico.es/politica/cloacas-interior-pablo-casado-reunio-vez-excomisario-villarejo.html" TargetMode="External"/><Relationship Id="rId2410" Type="http://schemas.openxmlformats.org/officeDocument/2006/relationships/hyperlink" Target="http://diario6.com/" TargetMode="External"/><Relationship Id="rId2648" Type="http://schemas.openxmlformats.org/officeDocument/2006/relationships/hyperlink" Target="http://eui.academia.edu/GustavoAlares" TargetMode="External"/><Relationship Id="rId2855" Type="http://schemas.openxmlformats.org/officeDocument/2006/relationships/hyperlink" Target="http://noticiariocentrodeandalucia.wordpress.com/" TargetMode="External"/><Relationship Id="rId96" Type="http://schemas.openxmlformats.org/officeDocument/2006/relationships/hyperlink" Target="https://www.youtube.com/channel/UCzAeV22GnQxwUBokDOEyb4A" TargetMode="External"/><Relationship Id="rId827" Type="http://schemas.openxmlformats.org/officeDocument/2006/relationships/hyperlink" Target="https://www.libertaddigital.com/espana/2018-11-21/pedro-sanchez-pide-a-casado-y-rufian-que-pidan-discupas-por-el-escupitajo-de-erc-a-borell-1276628638/" TargetMode="External"/><Relationship Id="rId1012" Type="http://schemas.openxmlformats.org/officeDocument/2006/relationships/hyperlink" Target="http://radiocorazondigital.blogspot.com.es/" TargetMode="External"/><Relationship Id="rId1457" Type="http://schemas.openxmlformats.org/officeDocument/2006/relationships/hyperlink" Target="http://www.huffingtonpost.es/" TargetMode="External"/><Relationship Id="rId1664" Type="http://schemas.openxmlformats.org/officeDocument/2006/relationships/hyperlink" Target="http://pradoalberdi.wordpress.com/" TargetMode="External"/><Relationship Id="rId1871" Type="http://schemas.openxmlformats.org/officeDocument/2006/relationships/hyperlink" Target="http://instagram.com/munblas" TargetMode="External"/><Relationship Id="rId2508" Type="http://schemas.openxmlformats.org/officeDocument/2006/relationships/hyperlink" Target="https://goo.gl/XPaJPL" TargetMode="External"/><Relationship Id="rId2715" Type="http://schemas.openxmlformats.org/officeDocument/2006/relationships/hyperlink" Target="https://www.linkedin.com/in/dani-sanchez-martinez/" TargetMode="External"/><Relationship Id="rId2922" Type="http://schemas.openxmlformats.org/officeDocument/2006/relationships/hyperlink" Target="https://www.vozpopuli.com/opinion/Alea-iacta-est-Pablo-Casado_0_1191781185.html" TargetMode="External"/><Relationship Id="rId1317" Type="http://schemas.openxmlformats.org/officeDocument/2006/relationships/hyperlink" Target="https://www.youtube.com/watch?v=IZfcG0rPxrs" TargetMode="External"/><Relationship Id="rId1524" Type="http://schemas.openxmlformats.org/officeDocument/2006/relationships/hyperlink" Target="https://buff.ly/2PD85xk" TargetMode="External"/><Relationship Id="rId1731" Type="http://schemas.openxmlformats.org/officeDocument/2006/relationships/hyperlink" Target="http://www.joseantoniozarzalejos.com/" TargetMode="External"/><Relationship Id="rId1969" Type="http://schemas.openxmlformats.org/officeDocument/2006/relationships/hyperlink" Target="https://www.eljueves.es/news/pablo-casado-propone-invadir-polonia-para-hacer-espana-mas-grande_2959?utm_source=facebook&amp;utm_medium=social&amp;utm_campaign=trafico" TargetMode="External"/><Relationship Id="rId23" Type="http://schemas.openxmlformats.org/officeDocument/2006/relationships/hyperlink" Target="https://pbs.twimg.com/media/DssWrCuXgAEuB1P.jpg" TargetMode="External"/><Relationship Id="rId1829" Type="http://schemas.openxmlformats.org/officeDocument/2006/relationships/hyperlink" Target="http://www.forociudadano.org/" TargetMode="External"/><Relationship Id="rId2298" Type="http://schemas.openxmlformats.org/officeDocument/2006/relationships/hyperlink" Target="http://www.europaensuma.org/" TargetMode="External"/><Relationship Id="rId172" Type="http://schemas.openxmlformats.org/officeDocument/2006/relationships/hyperlink" Target="http://bit.ly/2FySLx7" TargetMode="External"/><Relationship Id="rId477" Type="http://schemas.openxmlformats.org/officeDocument/2006/relationships/hyperlink" Target="https://www.eldiario.es/_31fba826" TargetMode="External"/><Relationship Id="rId684" Type="http://schemas.openxmlformats.org/officeDocument/2006/relationships/hyperlink" Target="https://pbs.twimg.com/media/DsnEi6KWsAAvgk-.jpg" TargetMode="External"/><Relationship Id="rId2060" Type="http://schemas.openxmlformats.org/officeDocument/2006/relationships/hyperlink" Target="https://m.eldiario.es/politica/Casado-Andalucia-candidato-Juanma-Moreno_0_837116686.html" TargetMode="External"/><Relationship Id="rId2158" Type="http://schemas.openxmlformats.org/officeDocument/2006/relationships/hyperlink" Target="https://www.facebook.com/FotografiayRevolution/posts/2093399454076984" TargetMode="External"/><Relationship Id="rId2365" Type="http://schemas.openxmlformats.org/officeDocument/2006/relationships/hyperlink" Target="https://www.huffingtonpost.es/2018/11/17/pablo-casado-los-espanoles-no-colonizabamos-lo-que-haciamos-era-tener-una-espana-mas-grande_a_23592393/" TargetMode="External"/><Relationship Id="rId337" Type="http://schemas.openxmlformats.org/officeDocument/2006/relationships/hyperlink" Target="https://www.youtube.com/attribution_link?a=WtFOOgg6v7E&amp;u=%2Fwatch%3Fv%3DjybqW6AZOQ0%26feature%3Dshare" TargetMode="External"/><Relationship Id="rId891" Type="http://schemas.openxmlformats.org/officeDocument/2006/relationships/hyperlink" Target="https://pbs.twimg.com/media/Dsl_q-eXcAAwfAI.jpg" TargetMode="External"/><Relationship Id="rId989" Type="http://schemas.openxmlformats.org/officeDocument/2006/relationships/hyperlink" Target="https://www.libertaddigital.com/espana/2018-11-21/pedro-sanchez-pide-a-casado-y-rufian-que-pidan-discupas-por-el-escupitajo-de-erc-a-borell-1276628638/" TargetMode="External"/><Relationship Id="rId2018" Type="http://schemas.openxmlformats.org/officeDocument/2006/relationships/hyperlink" Target="https://www.eljueves.es/news/pablo-casado-propone-invadir-polonia-para-hacer-espana-mas-grande_2959" TargetMode="External"/><Relationship Id="rId2572" Type="http://schemas.openxmlformats.org/officeDocument/2006/relationships/hyperlink" Target="http://www.la-fm.es/" TargetMode="External"/><Relationship Id="rId2877" Type="http://schemas.openxmlformats.org/officeDocument/2006/relationships/hyperlink" Target="http://www.huffingtonpost.es/" TargetMode="External"/><Relationship Id="rId544" Type="http://schemas.openxmlformats.org/officeDocument/2006/relationships/hyperlink" Target="http://rosamariaartal.wordpress.com/" TargetMode="External"/><Relationship Id="rId751" Type="http://schemas.openxmlformats.org/officeDocument/2006/relationships/hyperlink" Target="http://cataladigital.cat/2018/11/21/las-20-frases-mas-surrealistas-de-pablo-casado/" TargetMode="External"/><Relationship Id="rId849" Type="http://schemas.openxmlformats.org/officeDocument/2006/relationships/hyperlink" Target="https://www.instagram.com/silviafilosofadepacotilla/" TargetMode="External"/><Relationship Id="rId1174" Type="http://schemas.openxmlformats.org/officeDocument/2006/relationships/hyperlink" Target="https://www.libertaddigital.com/espana/politica/2018-11-21/casado-acusa-a-sanchez-de-malograr-el-cgpj-y-este-le-dice-que-a-su-lado-rajoy-es-un-moderado-1276628567/" TargetMode="External"/><Relationship Id="rId1381" Type="http://schemas.openxmlformats.org/officeDocument/2006/relationships/hyperlink" Target="https://pbs.twimg.com/media/DseO4axWoAAnjcQ.jpg" TargetMode="External"/><Relationship Id="rId1479" Type="http://schemas.openxmlformats.org/officeDocument/2006/relationships/hyperlink" Target="http://instagram.com/jsansebastianc/" TargetMode="External"/><Relationship Id="rId1686" Type="http://schemas.openxmlformats.org/officeDocument/2006/relationships/hyperlink" Target="https://www.eitb.eus/es/radio/radio-euskadi/programas/boulevard/detalle/6004305/ian-gibson-habla-derecha-espanola-presenta-vida-muerte-lorca/" TargetMode="External"/><Relationship Id="rId2225" Type="http://schemas.openxmlformats.org/officeDocument/2006/relationships/hyperlink" Target="https://www.libertaddigital.com/opinion/luis-herrero/la-que-se-avecina-86512/" TargetMode="External"/><Relationship Id="rId2432" Type="http://schemas.openxmlformats.org/officeDocument/2006/relationships/hyperlink" Target="http://noticiasgibraltar.es/" TargetMode="External"/><Relationship Id="rId404" Type="http://schemas.openxmlformats.org/officeDocument/2006/relationships/hyperlink" Target="http://www.eldebatedehoy.es/" TargetMode="External"/><Relationship Id="rId611" Type="http://schemas.openxmlformats.org/officeDocument/2006/relationships/hyperlink" Target="https://www.eldiario.es/_31fabdf9" TargetMode="External"/><Relationship Id="rId1034" Type="http://schemas.openxmlformats.org/officeDocument/2006/relationships/hyperlink" Target="http://antoniobernabe.net/" TargetMode="External"/><Relationship Id="rId1241" Type="http://schemas.openxmlformats.org/officeDocument/2006/relationships/hyperlink" Target="https://www.elmundo.es/espana/2018/11/21/5bf52116268e3e98538b45df.html" TargetMode="External"/><Relationship Id="rId1339" Type="http://schemas.openxmlformats.org/officeDocument/2006/relationships/hyperlink" Target="https://www.elmundo.es/espana/2018/11/20/5bf4517046163fdb2f8b461b.html" TargetMode="External"/><Relationship Id="rId1893" Type="http://schemas.openxmlformats.org/officeDocument/2006/relationships/hyperlink" Target="http://es.favstar.fm/users/diegrotesco" TargetMode="External"/><Relationship Id="rId2737" Type="http://schemas.openxmlformats.org/officeDocument/2006/relationships/hyperlink" Target="https://www.elmundo.es/andalucia/2018/11/18/5bf1600fe2704ed9718b45f0.html" TargetMode="External"/><Relationship Id="rId2944" Type="http://schemas.openxmlformats.org/officeDocument/2006/relationships/hyperlink" Target="http://blogs.libertaddigital.com/enigmas-del-11-m/pablo-casado-entrega-la-justicia-a-pedro-sanchez-15104/" TargetMode="External"/><Relationship Id="rId709" Type="http://schemas.openxmlformats.org/officeDocument/2006/relationships/hyperlink" Target="https://yopsramon.wordpress.com/" TargetMode="External"/><Relationship Id="rId916" Type="http://schemas.openxmlformats.org/officeDocument/2006/relationships/hyperlink" Target="https://www.huffingtonpost.es/2015/08/05/pablo-casado_n_7941228.html" TargetMode="External"/><Relationship Id="rId1101" Type="http://schemas.openxmlformats.org/officeDocument/2006/relationships/hyperlink" Target="https://pbs.twimg.com/media/DsieBKVXoAAdVfr.jpg" TargetMode="External"/><Relationship Id="rId1546" Type="http://schemas.openxmlformats.org/officeDocument/2006/relationships/hyperlink" Target="https://www.eldiario.es/politica/PP-Cosido-implicacion-Kitchen-CGPJ_0_837816456.html" TargetMode="External"/><Relationship Id="rId1753" Type="http://schemas.openxmlformats.org/officeDocument/2006/relationships/hyperlink" Target="https://jaumesatorrahervera.wordpress.com/" TargetMode="External"/><Relationship Id="rId1960" Type="http://schemas.openxmlformats.org/officeDocument/2006/relationships/hyperlink" Target="http://veoinfo.com/" TargetMode="External"/><Relationship Id="rId2804" Type="http://schemas.openxmlformats.org/officeDocument/2006/relationships/hyperlink" Target="https://www.lavanguardia.com/politica/20181117/452992780484/pablo-casado-espana-no-colonizaba-tener-espana-mas-grande.html?facet=amp&amp;__twitter_impression=true" TargetMode="External"/><Relationship Id="rId45" Type="http://schemas.openxmlformats.org/officeDocument/2006/relationships/hyperlink" Target="http://www.nngglarioja.es/" TargetMode="External"/><Relationship Id="rId1406" Type="http://schemas.openxmlformats.org/officeDocument/2006/relationships/hyperlink" Target="https://twitter.com/efenoticias/status/1064934329271373827" TargetMode="External"/><Relationship Id="rId1613" Type="http://schemas.openxmlformats.org/officeDocument/2006/relationships/hyperlink" Target="http://www.elconfidencialdigital.com/" TargetMode="External"/><Relationship Id="rId1820" Type="http://schemas.openxmlformats.org/officeDocument/2006/relationships/hyperlink" Target="http://lopezbulla.blogspot.com/2018/11/las-violetas-imperiales-de-pablo-casado.html" TargetMode="External"/><Relationship Id="rId194" Type="http://schemas.openxmlformats.org/officeDocument/2006/relationships/hyperlink" Target="https://www.eljueves.es/news/pablo-casado-intenta-comprar-remesa-esclavos-black-friday_2970" TargetMode="External"/><Relationship Id="rId1918" Type="http://schemas.openxmlformats.org/officeDocument/2006/relationships/hyperlink" Target="http://diario16.com/denunciado-fiscal-pidio-archivo-del-caso-master-pablo-casado/" TargetMode="External"/><Relationship Id="rId2082" Type="http://schemas.openxmlformats.org/officeDocument/2006/relationships/hyperlink" Target="http://diario16.com/denunciado-fiscal-pidio-archivo-del-caso-master-pablo-casado/" TargetMode="External"/><Relationship Id="rId261" Type="http://schemas.openxmlformats.org/officeDocument/2006/relationships/hyperlink" Target="https://www.amazon.es/dp/1980784183/ref=cm_sw_r_cp_apa_i_o615Bb13RDDMZ" TargetMode="External"/><Relationship Id="rId499" Type="http://schemas.openxmlformats.org/officeDocument/2006/relationships/hyperlink" Target="http://www.etnikal.es/" TargetMode="External"/><Relationship Id="rId2387" Type="http://schemas.openxmlformats.org/officeDocument/2006/relationships/hyperlink" Target="http://www.eldebatedehoy.es/" TargetMode="External"/><Relationship Id="rId2594" Type="http://schemas.openxmlformats.org/officeDocument/2006/relationships/hyperlink" Target="https://pbs.twimg.com/media/DsTDo9WXoAEtE_t.jpg" TargetMode="External"/><Relationship Id="rId359" Type="http://schemas.openxmlformats.org/officeDocument/2006/relationships/hyperlink" Target="https://pbs.twimg.com/media/DsqncIFW0AACZHh.jpg" TargetMode="External"/><Relationship Id="rId566" Type="http://schemas.openxmlformats.org/officeDocument/2006/relationships/hyperlink" Target="https://www.eldiario.es/_31fabdf9" TargetMode="External"/><Relationship Id="rId773" Type="http://schemas.openxmlformats.org/officeDocument/2006/relationships/hyperlink" Target="https://m.eldiario.es/_31fabdf9" TargetMode="External"/><Relationship Id="rId1196" Type="http://schemas.openxmlformats.org/officeDocument/2006/relationships/hyperlink" Target="https://pbs.twimg.com/media/DshUJqbWoAIOO3B.jpg" TargetMode="External"/><Relationship Id="rId2247" Type="http://schemas.openxmlformats.org/officeDocument/2006/relationships/hyperlink" Target="http://tinyurl.com/y99csfb7" TargetMode="External"/><Relationship Id="rId2454" Type="http://schemas.openxmlformats.org/officeDocument/2006/relationships/hyperlink" Target="https://www.elmundo.es/andalucia/2018/11/18/5bf1600fe2704ed9718b45f0.html" TargetMode="External"/><Relationship Id="rId2899" Type="http://schemas.openxmlformats.org/officeDocument/2006/relationships/hyperlink" Target="http://www.alcantarillasocial.com/author/xuxipc/" TargetMode="External"/><Relationship Id="rId121" Type="http://schemas.openxmlformats.org/officeDocument/2006/relationships/hyperlink" Target="https://www.youtube.com/c/yumland?sub_confirmation=1" TargetMode="External"/><Relationship Id="rId219" Type="http://schemas.openxmlformats.org/officeDocument/2006/relationships/hyperlink" Target="http://ow.ly/kA7BV" TargetMode="External"/><Relationship Id="rId426" Type="http://schemas.openxmlformats.org/officeDocument/2006/relationships/hyperlink" Target="http://eldiario.es/" TargetMode="External"/><Relationship Id="rId633" Type="http://schemas.openxmlformats.org/officeDocument/2006/relationships/hyperlink" Target="https://m.eldiario.es/31fabdf9_838516217/" TargetMode="External"/><Relationship Id="rId980" Type="http://schemas.openxmlformats.org/officeDocument/2006/relationships/hyperlink" Target="https://pbs.twimg.com/media/DsjtpDGXcAI-lxT.jpg" TargetMode="External"/><Relationship Id="rId1056" Type="http://schemas.openxmlformats.org/officeDocument/2006/relationships/hyperlink" Target="http://skakeo.blogspot.com/" TargetMode="External"/><Relationship Id="rId1263" Type="http://schemas.openxmlformats.org/officeDocument/2006/relationships/hyperlink" Target="https://pbs.twimg.com/media/DsgzdOoW0AEb2na.jpg" TargetMode="External"/><Relationship Id="rId2107" Type="http://schemas.openxmlformats.org/officeDocument/2006/relationships/hyperlink" Target="http://diario16.com/denunciado-fiscal-pidio-archivo-del-caso-master-pablo-casado/" TargetMode="External"/><Relationship Id="rId2314" Type="http://schemas.openxmlformats.org/officeDocument/2006/relationships/hyperlink" Target="https://www.eldiario.es/politica/Casado-Andalucia-candidato-Juanma-Moreno_0_837116686.html" TargetMode="External"/><Relationship Id="rId2661" Type="http://schemas.openxmlformats.org/officeDocument/2006/relationships/hyperlink" Target="http://shr.gs/WJjPhZi" TargetMode="External"/><Relationship Id="rId2759" Type="http://schemas.openxmlformats.org/officeDocument/2006/relationships/hyperlink" Target="http://www.pasenyleanorg.wordpress.com/" TargetMode="External"/><Relationship Id="rId2966" Type="http://schemas.openxmlformats.org/officeDocument/2006/relationships/hyperlink" Target="https://www.lavanguardia.com/politica/20181117/452992780484/pablo-casado-espana-no-colonizaba-tener-espana-mas-grande.html" TargetMode="External"/><Relationship Id="rId840" Type="http://schemas.openxmlformats.org/officeDocument/2006/relationships/hyperlink" Target="https://pbs.twimg.com/media/DsmaBspX4AEc4yy.jpg" TargetMode="External"/><Relationship Id="rId938" Type="http://schemas.openxmlformats.org/officeDocument/2006/relationships/hyperlink" Target="http://instagram.com/ramonMLGA" TargetMode="External"/><Relationship Id="rId1470" Type="http://schemas.openxmlformats.org/officeDocument/2006/relationships/hyperlink" Target="https://www.elmundo.es/espana/2018/11/20/5bf4064222601d460c8b45ee.html" TargetMode="External"/><Relationship Id="rId1568" Type="http://schemas.openxmlformats.org/officeDocument/2006/relationships/hyperlink" Target="http://www.elmundo.es/espana/2018/11/20/5bf3eb5022601d317c8b45a2.html" TargetMode="External"/><Relationship Id="rId1775" Type="http://schemas.openxmlformats.org/officeDocument/2006/relationships/hyperlink" Target="https://pbs.twimg.com/media/DsZsngsXcAUVKBV.jpg" TargetMode="External"/><Relationship Id="rId2521" Type="http://schemas.openxmlformats.org/officeDocument/2006/relationships/hyperlink" Target="https://pbs.twimg.com/media/DsTbXi0XQAAJpff.jpg" TargetMode="External"/><Relationship Id="rId2619" Type="http://schemas.openxmlformats.org/officeDocument/2006/relationships/hyperlink" Target="https://www.lavanguardia.com/politica/20181117/452992780484/pablo-casado-espana-no-colonizaba-tener-espana-mas-grande.html?utm_source=facebook&amp;utm_medium=social&amp;utm_content=politica&amp;utm_campaign=lv" TargetMode="External"/><Relationship Id="rId2826"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67" Type="http://schemas.openxmlformats.org/officeDocument/2006/relationships/hyperlink" Target="https://telegram.me/coagalmeria" TargetMode="External"/><Relationship Id="rId700" Type="http://schemas.openxmlformats.org/officeDocument/2006/relationships/hyperlink" Target="https://www.energeticacoop.es/" TargetMode="External"/><Relationship Id="rId1123" Type="http://schemas.openxmlformats.org/officeDocument/2006/relationships/hyperlink" Target="http://www.larodapsoe.es/" TargetMode="External"/><Relationship Id="rId1330" Type="http://schemas.openxmlformats.org/officeDocument/2006/relationships/hyperlink" Target="http://diario16.com/denunciado-fiscal-pidio-archivo-del-caso-master-pablo-casado/" TargetMode="External"/><Relationship Id="rId1428" Type="http://schemas.openxmlformats.org/officeDocument/2006/relationships/hyperlink" Target="https://www.elmundo.es/espana/2018/11/20/5bf3eb5022601d317c8b45a2.html" TargetMode="External"/><Relationship Id="rId1635" Type="http://schemas.openxmlformats.org/officeDocument/2006/relationships/hyperlink" Target="https://stopsucesiones.org/%f0%9f%9b%91el-presidente-del-partido-popular-pablo-casado-se-compromete-con-stop-sucesiones-a-suprimir-el-impuesto-a-las-herencias-en-toda-espana/" TargetMode="External"/><Relationship Id="rId1982" Type="http://schemas.openxmlformats.org/officeDocument/2006/relationships/hyperlink" Target="https://www.abc.es/espana/abci-podemos-presiona-gobierno-sociedad-calvino-cosa-pinta-201811191348_noticia.html" TargetMode="External"/><Relationship Id="rId1842" Type="http://schemas.openxmlformats.org/officeDocument/2006/relationships/hyperlink" Target="http://pic.twitter.com/fY2Az7p0Tt" TargetMode="External"/><Relationship Id="rId1702" Type="http://schemas.openxmlformats.org/officeDocument/2006/relationships/hyperlink" Target="http://navarra.elespanol.com/opinion/autor/002529/javier-ancin" TargetMode="External"/><Relationship Id="rId283" Type="http://schemas.openxmlformats.org/officeDocument/2006/relationships/hyperlink" Target="https://m.eldiario.es/_31fba826" TargetMode="External"/><Relationship Id="rId490" Type="http://schemas.openxmlformats.org/officeDocument/2006/relationships/hyperlink" Target="https://m.eldiario.es/_31fabdf9" TargetMode="External"/><Relationship Id="rId2171" Type="http://schemas.openxmlformats.org/officeDocument/2006/relationships/hyperlink" Target="https://okdiario.com/espana/2018/11/18/casado-reclama-cosoberania-gibraltar-no-queremos-verja-3364229" TargetMode="External"/><Relationship Id="rId143" Type="http://schemas.openxmlformats.org/officeDocument/2006/relationships/hyperlink" Target="http://partidorepes.wordpress.com/" TargetMode="External"/><Relationship Id="rId350" Type="http://schemas.openxmlformats.org/officeDocument/2006/relationships/hyperlink" Target="https://m.eldiario.es/politica/Pablo-Casado-exaltacion-franquismo-probidida_0_838516217.html" TargetMode="External"/><Relationship Id="rId588" Type="http://schemas.openxmlformats.org/officeDocument/2006/relationships/hyperlink" Target="http://elregresodejuandemairena.blogspot.com.es/" TargetMode="External"/><Relationship Id="rId795" Type="http://schemas.openxmlformats.org/officeDocument/2006/relationships/hyperlink" Target="http://www.eldiario.es/" TargetMode="External"/><Relationship Id="rId2031" Type="http://schemas.openxmlformats.org/officeDocument/2006/relationships/hyperlink" Target="https://www.periodistadigital.com/politica/partidos-politicos/2018/11/19/ana-isabel-perez-pp-asamblea-madrid-diputada-madrid-central-carmena-pablo-casado-angel-garrido.shtml" TargetMode="External"/><Relationship Id="rId2269" Type="http://schemas.openxmlformats.org/officeDocument/2006/relationships/hyperlink" Target="https://www.instagram.com/enneiradreklaw/" TargetMode="External"/><Relationship Id="rId2476" Type="http://schemas.openxmlformats.org/officeDocument/2006/relationships/hyperlink" Target="http://www.ochobre34-asturies.blogspot.com/" TargetMode="External"/><Relationship Id="rId2683" Type="http://schemas.openxmlformats.org/officeDocument/2006/relationships/hyperlink" Target="https://www.lavanguardia.com/politica/20181117/452992780484/pablo-casado-espana-no-colonizaba-tener-espana-mas-grande.html?utm_source=newsletters&amp;utm_medium=email&amp;utm_campaign=politica&amp;utm_term=20181118&amp;utm_content=listado-de-noticias-de-la-seccion-de-politica" TargetMode="External"/><Relationship Id="rId2890" Type="http://schemas.openxmlformats.org/officeDocument/2006/relationships/hyperlink" Target="http://www.diariocordoba.com/" TargetMode="External"/><Relationship Id="rId9" Type="http://schemas.openxmlformats.org/officeDocument/2006/relationships/hyperlink" Target="https://okdiario.com/espana/2018/11/23/casado-reprocha-sanchez-que-no-llegue-tiempo-acuerdo-sobre-gibraltar-favorable-3383292" TargetMode="External"/><Relationship Id="rId210" Type="http://schemas.openxmlformats.org/officeDocument/2006/relationships/hyperlink" Target="https://www.eldiario.es/_31fba826" TargetMode="External"/><Relationship Id="rId448" Type="http://schemas.openxmlformats.org/officeDocument/2006/relationships/hyperlink" Target="https://josetivi.wordpress.com/" TargetMode="External"/><Relationship Id="rId655" Type="http://schemas.openxmlformats.org/officeDocument/2006/relationships/hyperlink" Target="https://m.eldiario.es/_31fabdf9" TargetMode="External"/><Relationship Id="rId862" Type="http://schemas.openxmlformats.org/officeDocument/2006/relationships/hyperlink" Target="https://twitter.com/NTMEP/status/1065531432980889600" TargetMode="External"/><Relationship Id="rId1078" Type="http://schemas.openxmlformats.org/officeDocument/2006/relationships/hyperlink" Target="https://elpais.com/politica/2018/11/20/actualidad/1542754334_277796.html?id_externo_rsoc=TW_CC" TargetMode="External"/><Relationship Id="rId1285" Type="http://schemas.openxmlformats.org/officeDocument/2006/relationships/hyperlink" Target="http://www.jcdiez.com/2018/07/23/pablo-casado-y-la-economia-vudu/" TargetMode="External"/><Relationship Id="rId1492" Type="http://schemas.openxmlformats.org/officeDocument/2006/relationships/hyperlink" Target="https://diario6.com/pablo-casado-al-igual-que-cospedal-tambien-se-reunio-con-villarejo/" TargetMode="External"/><Relationship Id="rId2129" Type="http://schemas.openxmlformats.org/officeDocument/2006/relationships/hyperlink" Target="https://www.elconfidencial.com/elecciones-andalucia/2018-11-16/pablo-casado-juanma-moreno-campana-elecciones-andalucia_1650218/?utm_source=twitter&amp;utm_medium=social&amp;utm_campaign=BotoneraWeb" TargetMode="External"/><Relationship Id="rId2336" Type="http://schemas.openxmlformats.org/officeDocument/2006/relationships/hyperlink" Target="https://pbs.twimg.com/media/DsUsdAOX4AE_5zK.jpg" TargetMode="External"/><Relationship Id="rId2543" Type="http://schemas.openxmlformats.org/officeDocument/2006/relationships/hyperlink" Target="http://shr.gs/csH4Dab" TargetMode="External"/><Relationship Id="rId2750" Type="http://schemas.openxmlformats.org/officeDocument/2006/relationships/hyperlink" Target="https://pbs.twimg.com/media/DsSYe08XQAA607c.jpg" TargetMode="External"/><Relationship Id="rId308" Type="http://schemas.openxmlformats.org/officeDocument/2006/relationships/hyperlink" Target="http://www.facebook.com/pako.morote" TargetMode="External"/><Relationship Id="rId515" Type="http://schemas.openxmlformats.org/officeDocument/2006/relationships/hyperlink" Target="http://www.mhuel.org/" TargetMode="External"/><Relationship Id="rId722" Type="http://schemas.openxmlformats.org/officeDocument/2006/relationships/hyperlink" Target="http://bit.ly/2QYVn8P" TargetMode="External"/><Relationship Id="rId1145" Type="http://schemas.openxmlformats.org/officeDocument/2006/relationships/hyperlink" Target="http://dlvr.it/QrmLrc" TargetMode="External"/><Relationship Id="rId1352" Type="http://schemas.openxmlformats.org/officeDocument/2006/relationships/hyperlink" Target="https://twitter.com/pablocasado_/status/1064984130562244608" TargetMode="External"/><Relationship Id="rId1797" Type="http://schemas.openxmlformats.org/officeDocument/2006/relationships/hyperlink" Target="https://okdiario.com/general/2018/11/19/casado-suma-idea-del-adelanto-electoral-pp-esta-preparado-ganar-3367348" TargetMode="External"/><Relationship Id="rId2403" Type="http://schemas.openxmlformats.org/officeDocument/2006/relationships/hyperlink" Target="http://pic.twitter.com/SZh5RSRxTB" TargetMode="External"/><Relationship Id="rId2848" Type="http://schemas.openxmlformats.org/officeDocument/2006/relationships/hyperlink" Target="http://www.ivoox.com/30134010" TargetMode="External"/><Relationship Id="rId89" Type="http://schemas.openxmlformats.org/officeDocument/2006/relationships/hyperlink" Target="http://www.ramonloboweb.com/" TargetMode="External"/><Relationship Id="rId1005" Type="http://schemas.openxmlformats.org/officeDocument/2006/relationships/hyperlink" Target="http://www.elcheclubdefutbolsad.com/" TargetMode="External"/><Relationship Id="rId1212" Type="http://schemas.openxmlformats.org/officeDocument/2006/relationships/hyperlink" Target="https://www.facebook.com/francisco.romero.520" TargetMode="External"/><Relationship Id="rId1657" Type="http://schemas.openxmlformats.org/officeDocument/2006/relationships/hyperlink" Target="http://www.igdxindependencia.cat/" TargetMode="External"/><Relationship Id="rId1864" Type="http://schemas.openxmlformats.org/officeDocument/2006/relationships/hyperlink" Target="http://www.multiforo.eu/Noticias/2018/Noviembre/Noviembre_19.htm" TargetMode="External"/><Relationship Id="rId2610" Type="http://schemas.openxmlformats.org/officeDocument/2006/relationships/hyperlink" Target="http://atres.red/wkitb2" TargetMode="External"/><Relationship Id="rId2708"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915" Type="http://schemas.openxmlformats.org/officeDocument/2006/relationships/hyperlink" Target="http://blogs.libertaddigital.com/enigmas-del-11-m/pablo-casado-entrega-la-justicia-a-pedro-sanchez-15104/" TargetMode="External"/><Relationship Id="rId1517" Type="http://schemas.openxmlformats.org/officeDocument/2006/relationships/hyperlink" Target="https://www.elmundo.es/espana/2018/11/20/5bf4064222601d460c8b45ee.html" TargetMode="External"/><Relationship Id="rId1724" Type="http://schemas.openxmlformats.org/officeDocument/2006/relationships/hyperlink" Target="https://www.libertaddigital.com/espana/2018-11-20/casado-suspende-el-proceso-de-renovacion-del-cgpj-y-reivindicara-un-cambio-en-el-sistema-de-eleccion-1276628501/" TargetMode="External"/><Relationship Id="rId16" Type="http://schemas.openxmlformats.org/officeDocument/2006/relationships/hyperlink" Target="https://www.eldiario.es/_31fba826" TargetMode="External"/><Relationship Id="rId1931" Type="http://schemas.openxmlformats.org/officeDocument/2006/relationships/hyperlink" Target="http://radiorho.blogspot.com/" TargetMode="External"/><Relationship Id="rId2193" Type="http://schemas.openxmlformats.org/officeDocument/2006/relationships/hyperlink" Target="https://laicismo.org/?p=189020" TargetMode="External"/><Relationship Id="rId2498" Type="http://schemas.openxmlformats.org/officeDocument/2006/relationships/hyperlink" Target="https://pbs.twimg.com/media/DsTh9v5XcAAyhVR.jpg" TargetMode="External"/><Relationship Id="rId165" Type="http://schemas.openxmlformats.org/officeDocument/2006/relationships/hyperlink" Target="http://pic.twitter.com/fNyjoHN8ix" TargetMode="External"/><Relationship Id="rId372" Type="http://schemas.openxmlformats.org/officeDocument/2006/relationships/hyperlink" Target="https://www.elmundo.es/espana/2018/11/22/5bf5c490e5fdeade018b45ea.html" TargetMode="External"/><Relationship Id="rId677" Type="http://schemas.openxmlformats.org/officeDocument/2006/relationships/hyperlink" Target="https://www.elnacional.cat/enblau/es/television/pepa-bueno-pablo-casado-tension_327399_102.html" TargetMode="External"/><Relationship Id="rId2053" Type="http://schemas.openxmlformats.org/officeDocument/2006/relationships/hyperlink" Target="http://www.facebook.com/elpidiojsilva" TargetMode="External"/><Relationship Id="rId2260" Type="http://schemas.openxmlformats.org/officeDocument/2006/relationships/hyperlink" Target="http://bit.ly/2BfLluz" TargetMode="External"/><Relationship Id="rId2358" Type="http://schemas.openxmlformats.org/officeDocument/2006/relationships/hyperlink" Target="http://esquivandofronteras.blogspot.com/" TargetMode="External"/><Relationship Id="rId232" Type="http://schemas.openxmlformats.org/officeDocument/2006/relationships/hyperlink" Target="https://m.eldiario.es/_31fba826" TargetMode="External"/><Relationship Id="rId884" Type="http://schemas.openxmlformats.org/officeDocument/2006/relationships/hyperlink" Target="http://www.huffingtonpost.es/2018/11/22/pablo-casado-rechaza-el-whatsapp-sobre-los-jueces-y-cree-que-no-lo-escribio-cosido_a_23596700/" TargetMode="External"/><Relationship Id="rId2120" Type="http://schemas.openxmlformats.org/officeDocument/2006/relationships/hyperlink" Target="https://digitalsevilla.com/2018/11/14/destapan-el-pacto-bipartidista-para-salvar-a-rajoy-de-las-bombas-de-barcenas-durante-la-mocion-de-censura/amp/" TargetMode="External"/><Relationship Id="rId2565" Type="http://schemas.openxmlformats.org/officeDocument/2006/relationships/hyperlink" Target="https://pbs.twimg.com/media/DsSYZYaWsAEFWrW.jpg" TargetMode="External"/><Relationship Id="rId2772" Type="http://schemas.openxmlformats.org/officeDocument/2006/relationships/hyperlink" Target="https://goo.gl/tEwhcj" TargetMode="External"/><Relationship Id="rId537" Type="http://schemas.openxmlformats.org/officeDocument/2006/relationships/hyperlink" Target="https://www.eldiario.es/_31fabdf9" TargetMode="External"/><Relationship Id="rId744" Type="http://schemas.openxmlformats.org/officeDocument/2006/relationships/hyperlink" Target="http://www.sparkreleases.com/" TargetMode="External"/><Relationship Id="rId951" Type="http://schemas.openxmlformats.org/officeDocument/2006/relationships/hyperlink" Target="https://youtu.be/1lKU0gaYqog" TargetMode="External"/><Relationship Id="rId1167" Type="http://schemas.openxmlformats.org/officeDocument/2006/relationships/hyperlink" Target="https://pbs.twimg.com/media/DshqZJLXoAAJscz.jpg" TargetMode="External"/><Relationship Id="rId1374" Type="http://schemas.openxmlformats.org/officeDocument/2006/relationships/hyperlink" Target="http://www.lasexta.com/elintermedio" TargetMode="External"/><Relationship Id="rId1581" Type="http://schemas.openxmlformats.org/officeDocument/2006/relationships/hyperlink" Target="https://pbs.twimg.com/media/Dsci2D8WwAEuE4c.jpg" TargetMode="External"/><Relationship Id="rId1679" Type="http://schemas.openxmlformats.org/officeDocument/2006/relationships/hyperlink" Target="https://www.researchgate.net/profile/Juan_Casado2" TargetMode="External"/><Relationship Id="rId2218" Type="http://schemas.openxmlformats.org/officeDocument/2006/relationships/hyperlink" Target="http://about.me/franciscogeorge" TargetMode="External"/><Relationship Id="rId2425" Type="http://schemas.openxmlformats.org/officeDocument/2006/relationships/hyperlink" Target="https://www.vozpopuli.com/_47092341" TargetMode="External"/><Relationship Id="rId2632" Type="http://schemas.openxmlformats.org/officeDocument/2006/relationships/hyperlink" Target="http://www.europapress.es/andalucia/" TargetMode="External"/><Relationship Id="rId80" Type="http://schemas.openxmlformats.org/officeDocument/2006/relationships/hyperlink" Target="http://www.ppalmeria.com/" TargetMode="External"/><Relationship Id="rId604" Type="http://schemas.openxmlformats.org/officeDocument/2006/relationships/hyperlink" Target="https://m.eldiario.es/_31fabdf9" TargetMode="External"/><Relationship Id="rId811" Type="http://schemas.openxmlformats.org/officeDocument/2006/relationships/hyperlink" Target="https://www.elmundo.es/espana/2018/11/22/5bf5c490e5fdeade018b45ea.html" TargetMode="External"/><Relationship Id="rId1027" Type="http://schemas.openxmlformats.org/officeDocument/2006/relationships/hyperlink" Target="https://pbs.twimg.com/media/DsgwGuqU8AEeA9d.jpg" TargetMode="External"/><Relationship Id="rId1234" Type="http://schemas.openxmlformats.org/officeDocument/2006/relationships/hyperlink" Target="https://www.youtube.com/channel/UCzAeV22GnQxwUBokDOEyb4A" TargetMode="External"/><Relationship Id="rId1441" Type="http://schemas.openxmlformats.org/officeDocument/2006/relationships/hyperlink" Target="http://antonioperal.blogspot.com/" TargetMode="External"/><Relationship Id="rId1886" Type="http://schemas.openxmlformats.org/officeDocument/2006/relationships/hyperlink" Target="http://www.somossindicalista.es/" TargetMode="External"/><Relationship Id="rId2937" Type="http://schemas.openxmlformats.org/officeDocument/2006/relationships/hyperlink" Target="https://pbs.twimg.com/media/DsNLOnEXQAEoUnD.jpg" TargetMode="External"/><Relationship Id="rId909" Type="http://schemas.openxmlformats.org/officeDocument/2006/relationships/hyperlink" Target="https://twitter.com/PPopular/status/1065519113852854272" TargetMode="External"/><Relationship Id="rId1301" Type="http://schemas.openxmlformats.org/officeDocument/2006/relationships/hyperlink" Target="https://www.elplural.com/opinion/los-calvitos/pablo-casado-el-gracioso_206717102" TargetMode="External"/><Relationship Id="rId1539" Type="http://schemas.openxmlformats.org/officeDocument/2006/relationships/hyperlink" Target="https://pbs.twimg.com/media/DscuThYU0AAqZwp.jpg" TargetMode="External"/><Relationship Id="rId1746" Type="http://schemas.openxmlformats.org/officeDocument/2006/relationships/hyperlink" Target="http://city-diary.tumblr.com/" TargetMode="External"/><Relationship Id="rId1953" Type="http://schemas.openxmlformats.org/officeDocument/2006/relationships/hyperlink" Target="https://www.facebook.com/acuetoderivas/posts/2636828743010994" TargetMode="External"/><Relationship Id="rId38" Type="http://schemas.openxmlformats.org/officeDocument/2006/relationships/hyperlink" Target="https://pbs.twimg.com/media/DssO3GIXQAARgy9.jpg" TargetMode="External"/><Relationship Id="rId1606" Type="http://schemas.openxmlformats.org/officeDocument/2006/relationships/hyperlink" Target="http://atres.red/3wqqk1" TargetMode="External"/><Relationship Id="rId1813" Type="http://schemas.openxmlformats.org/officeDocument/2006/relationships/hyperlink" Target="https://www.huffingtonpost.es/2018/11/17/pablo-casado-los-espanoles-no-colonizabamos-lo-que-haciamos-era-tener-una-espana-mas-grande_a_23592393/" TargetMode="External"/><Relationship Id="rId187" Type="http://schemas.openxmlformats.org/officeDocument/2006/relationships/hyperlink" Target="http://jopassavaperaqui.wordpress.com/" TargetMode="External"/><Relationship Id="rId394" Type="http://schemas.openxmlformats.org/officeDocument/2006/relationships/hyperlink" Target="http://magazine340.es/" TargetMode="External"/><Relationship Id="rId2075" Type="http://schemas.openxmlformats.org/officeDocument/2006/relationships/hyperlink" Target="http://diario16.com/denunciado-fiscal-pidio-archivo-del-caso-master-pablo-casado/" TargetMode="External"/><Relationship Id="rId2282" Type="http://schemas.openxmlformats.org/officeDocument/2006/relationships/hyperlink" Target="http://pic.twitter.com/Bmx7oSD7mq" TargetMode="External"/><Relationship Id="rId254" Type="http://schemas.openxmlformats.org/officeDocument/2006/relationships/hyperlink" Target="https://www.eldiario.es/_31fba826" TargetMode="External"/><Relationship Id="rId699" Type="http://schemas.openxmlformats.org/officeDocument/2006/relationships/hyperlink" Target="http://www.eldiario.es/" TargetMode="External"/><Relationship Id="rId1091" Type="http://schemas.openxmlformats.org/officeDocument/2006/relationships/hyperlink" Target="https://www.facebook.com/JRTextos/" TargetMode="External"/><Relationship Id="rId2587" Type="http://schemas.openxmlformats.org/officeDocument/2006/relationships/hyperlink" Target="http://ow.ly/whXw30mF0vO" TargetMode="External"/><Relationship Id="rId2794" Type="http://schemas.openxmlformats.org/officeDocument/2006/relationships/hyperlink" Target="https://www.eldiario.es/escolar/mentiras-Pablo-Casado-Gurtel-Irak_6_828777140.html" TargetMode="External"/><Relationship Id="rId114" Type="http://schemas.openxmlformats.org/officeDocument/2006/relationships/hyperlink" Target="http://www.vivacampodegibraltar.es/" TargetMode="External"/><Relationship Id="rId461" Type="http://schemas.openxmlformats.org/officeDocument/2006/relationships/hyperlink" Target="http://www.lagacetadealmeria.com/" TargetMode="External"/><Relationship Id="rId559" Type="http://schemas.openxmlformats.org/officeDocument/2006/relationships/hyperlink" Target="https://youtu.be/jybqW6AZOQ0" TargetMode="External"/><Relationship Id="rId766" Type="http://schemas.openxmlformats.org/officeDocument/2006/relationships/hyperlink" Target="https://pbs.twimg.com/media/DsmyDDIWwAAxrVz.jpg" TargetMode="External"/><Relationship Id="rId1189" Type="http://schemas.openxmlformats.org/officeDocument/2006/relationships/hyperlink" Target="https://www.elmundo.es/espana/2018/11/21/5bf52116268e3e98538b45df.html" TargetMode="External"/><Relationship Id="rId1396" Type="http://schemas.openxmlformats.org/officeDocument/2006/relationships/hyperlink" Target="https://www.huffingtonpost.es/angel-tristan/el-bofeton-de-marchena-y-la-tonteria-de-cosido_a_23595084/?utm_hp_ref=es-homepage" TargetMode="External"/><Relationship Id="rId2142" Type="http://schemas.openxmlformats.org/officeDocument/2006/relationships/hyperlink" Target="http://politica.elpais.com/" TargetMode="External"/><Relationship Id="rId2447" Type="http://schemas.openxmlformats.org/officeDocument/2006/relationships/hyperlink" Target="https://www.elmundo.es/andalucia/2018/11/18/5bf1600fe2704ed9718b45f0.html" TargetMode="External"/><Relationship Id="rId321" Type="http://schemas.openxmlformats.org/officeDocument/2006/relationships/hyperlink" Target="http://ow.ly/GTcP30mIE6K" TargetMode="External"/><Relationship Id="rId419" Type="http://schemas.openxmlformats.org/officeDocument/2006/relationships/hyperlink" Target="https://www.eldiario.es/escolar/Pablo-Casado-Poder-Judicial-Cosido_6_838576166.html" TargetMode="External"/><Relationship Id="rId626" Type="http://schemas.openxmlformats.org/officeDocument/2006/relationships/hyperlink" Target="http://steamcommunity.com/id/Ragor93" TargetMode="External"/><Relationship Id="rId973" Type="http://schemas.openxmlformats.org/officeDocument/2006/relationships/hyperlink" Target="http://www.libremercado.com/" TargetMode="External"/><Relationship Id="rId1049" Type="http://schemas.openxmlformats.org/officeDocument/2006/relationships/hyperlink" Target="http://pic.twitter.com/3Vmym0HnUc" TargetMode="External"/><Relationship Id="rId1256" Type="http://schemas.openxmlformats.org/officeDocument/2006/relationships/hyperlink" Target="http://www.elnacional.cat/" TargetMode="External"/><Relationship Id="rId2002" Type="http://schemas.openxmlformats.org/officeDocument/2006/relationships/hyperlink" Target="https://pbs.twimg.com/media/DsYC2sGWoAAcPee.jpg" TargetMode="External"/><Relationship Id="rId2307" Type="http://schemas.openxmlformats.org/officeDocument/2006/relationships/hyperlink" Target="http://cronicadigitalcomarcal.blogspot.com/" TargetMode="External"/><Relationship Id="rId2654" Type="http://schemas.openxmlformats.org/officeDocument/2006/relationships/hyperlink" Target="https://pbs.twimg.com/media/DsSysb_VAAAwS5W.jpg" TargetMode="External"/><Relationship Id="rId2861" Type="http://schemas.openxmlformats.org/officeDocument/2006/relationships/hyperlink" Target="http://pic.twitter.com/GPH1HIsNVk" TargetMode="External"/><Relationship Id="rId2959" Type="http://schemas.openxmlformats.org/officeDocument/2006/relationships/hyperlink" Target="https://www.vozpopuli.com/_47092341" TargetMode="External"/><Relationship Id="rId833" Type="http://schemas.openxmlformats.org/officeDocument/2006/relationships/hyperlink" Target="https://www.huffingtonpost.es/2018/11/22/tension-entre-pepa-bueno-y-pablo-casado-desde-esperanza-aguirre-no-he-tenido-tantas-dificultades-para-hacer-preguntas_a_23596803/?utm_hp_ref=es-homepage" TargetMode="External"/><Relationship Id="rId1116" Type="http://schemas.openxmlformats.org/officeDocument/2006/relationships/hyperlink" Target="http://cataladigital.cat/2018/11/21/las-20-frases-mas-surrealistas-de-pablo-casado/" TargetMode="External"/><Relationship Id="rId1463" Type="http://schemas.openxmlformats.org/officeDocument/2006/relationships/hyperlink" Target="https://www.elconfidencialdigital.com/articulo/politica/pablo-casado/20181119193601118311.html" TargetMode="External"/><Relationship Id="rId1670" Type="http://schemas.openxmlformats.org/officeDocument/2006/relationships/hyperlink" Target="https://www.ecorepublicano.es/2018/11/anabel-alonso-destroza-pablo-casado-en.html" TargetMode="External"/><Relationship Id="rId1768" Type="http://schemas.openxmlformats.org/officeDocument/2006/relationships/hyperlink" Target="https://pbs.twimg.com/media/DsZWDnGWwAExYj5.jpg" TargetMode="External"/><Relationship Id="rId2514" Type="http://schemas.openxmlformats.org/officeDocument/2006/relationships/hyperlink" Target="https://m.huffingtonpost.es/amp/2018/11/18/casado-en-el-mismo-mitin-del-no-queremos-verja-en-gibraltar-al-respetar-las-fronteras-en-ceuta-y-melilla_a_23592866/" TargetMode="External"/><Relationship Id="rId2721" Type="http://schemas.openxmlformats.org/officeDocument/2006/relationships/hyperlink" Target="http://vimeo.com/27856212" TargetMode="External"/><Relationship Id="rId2819" Type="http://schemas.openxmlformats.org/officeDocument/2006/relationships/hyperlink" Target="https://m.eldiario.es/_316622b4" TargetMode="External"/><Relationship Id="rId900" Type="http://schemas.openxmlformats.org/officeDocument/2006/relationships/hyperlink" Target="https://instagram.com/albgard/" TargetMode="External"/><Relationship Id="rId1323" Type="http://schemas.openxmlformats.org/officeDocument/2006/relationships/hyperlink" Target="https://es.linkedin.com/in/mruizcastro" TargetMode="External"/><Relationship Id="rId1530" Type="http://schemas.openxmlformats.org/officeDocument/2006/relationships/hyperlink" Target="https://pbs.twimg.com/media/DscxB_NV4AAZyd1.jpg" TargetMode="External"/><Relationship Id="rId1628" Type="http://schemas.openxmlformats.org/officeDocument/2006/relationships/hyperlink" Target="http://www.lavanguardia.com/" TargetMode="External"/><Relationship Id="rId1975" Type="http://schemas.openxmlformats.org/officeDocument/2006/relationships/hyperlink" Target="https://www.elplural.com/opinion/los-calvitos/la-historia-segun-pablo-casado_206557102" TargetMode="External"/><Relationship Id="rId1835" Type="http://schemas.openxmlformats.org/officeDocument/2006/relationships/hyperlink" Target="http://elperiodi.co/c63e51" TargetMode="External"/><Relationship Id="rId1902" Type="http://schemas.openxmlformats.org/officeDocument/2006/relationships/hyperlink" Target="https://twitter.com/Insomnio5155/status/1064444122168209408" TargetMode="External"/><Relationship Id="rId2097" Type="http://schemas.openxmlformats.org/officeDocument/2006/relationships/hyperlink" Target="http://www.librediariodigital.net/texto-diario/mostrar/1207785/pablo-casado-hare-posible-impedir-salario-minimo-interprofesional-suba-900-euros" TargetMode="External"/><Relationship Id="rId276" Type="http://schemas.openxmlformats.org/officeDocument/2006/relationships/hyperlink" Target="https://m.eldiario.es/_31fba826" TargetMode="External"/><Relationship Id="rId483" Type="http://schemas.openxmlformats.org/officeDocument/2006/relationships/hyperlink" Target="https://www.youtube.com/watch?v=jybqW6AZOQ0" TargetMode="External"/><Relationship Id="rId690" Type="http://schemas.openxmlformats.org/officeDocument/2006/relationships/hyperlink" Target="https://pbs.twimg.com/media/DsnEi6KWsAAvgk-.jpg" TargetMode="External"/><Relationship Id="rId2164" Type="http://schemas.openxmlformats.org/officeDocument/2006/relationships/hyperlink" Target="http://www.eljueves.es/" TargetMode="External"/><Relationship Id="rId2371" Type="http://schemas.openxmlformats.org/officeDocument/2006/relationships/hyperlink" Target="https://twitter.com/dsanchezcuellar/status/1064283321709010946" TargetMode="External"/><Relationship Id="rId136" Type="http://schemas.openxmlformats.org/officeDocument/2006/relationships/hyperlink" Target="https://www.facebook.com/100003395081586/posts/1764317367024749/" TargetMode="External"/><Relationship Id="rId343" Type="http://schemas.openxmlformats.org/officeDocument/2006/relationships/hyperlink" Target="http://eldiario.es/andalucia" TargetMode="External"/><Relationship Id="rId550" Type="http://schemas.openxmlformats.org/officeDocument/2006/relationships/hyperlink" Target="http://www.anitathomsen.info/" TargetMode="External"/><Relationship Id="rId788" Type="http://schemas.openxmlformats.org/officeDocument/2006/relationships/hyperlink" Target="https://www.huffingtonpost.es/2018/11/22/tension-entre-pepa-bueno-y-pablo-casado-desde-esperanza-aguirre-no-he-tenido-tantas-dificultades-para-hacer-preguntas_a_23596803/" TargetMode="External"/><Relationship Id="rId995" Type="http://schemas.openxmlformats.org/officeDocument/2006/relationships/hyperlink" Target="https://www.libertaddigital.com/espana/2018-11-21/pedro-sanchez-pide-a-casado-y-rufian-que-pidan-discupas-por-el-escupitajo-de-erc-a-borell-1276628638/" TargetMode="External"/><Relationship Id="rId1180" Type="http://schemas.openxmlformats.org/officeDocument/2006/relationships/hyperlink" Target="https://m.eldiario.es/politica/PP-ilegalizacion-organizaciones-comunistas-populistas_0_837817434.html" TargetMode="External"/><Relationship Id="rId2024" Type="http://schemas.openxmlformats.org/officeDocument/2006/relationships/hyperlink" Target="http://eldiario.es/" TargetMode="External"/><Relationship Id="rId2231" Type="http://schemas.openxmlformats.org/officeDocument/2006/relationships/hyperlink" Target="https://www.eldiario.es/internacional/Steve-Bannon-Orban-Pablo-Casado_0_837116460.html" TargetMode="External"/><Relationship Id="rId2469" Type="http://schemas.openxmlformats.org/officeDocument/2006/relationships/hyperlink" Target="https://pbs.twimg.com/media/DsTsesPW0AAha6w.jpg" TargetMode="External"/><Relationship Id="rId2676" Type="http://schemas.openxmlformats.org/officeDocument/2006/relationships/hyperlink" Target="http://about.me/ieseccnn" TargetMode="External"/><Relationship Id="rId2883" Type="http://schemas.openxmlformats.org/officeDocument/2006/relationships/hyperlink" Target="https://www.lavanguardia.com/politica/20181117/452992780484/pablo-casado-espana-no-colonizaba-tener-espana-mas-grande.html" TargetMode="External"/><Relationship Id="rId203" Type="http://schemas.openxmlformats.org/officeDocument/2006/relationships/hyperlink" Target="http://elsexodelasmoscas.blogspot.com/" TargetMode="External"/><Relationship Id="rId648" Type="http://schemas.openxmlformats.org/officeDocument/2006/relationships/hyperlink" Target="http://bit.ly/2FABK5z" TargetMode="External"/><Relationship Id="rId855" Type="http://schemas.openxmlformats.org/officeDocument/2006/relationships/hyperlink" Target="http://www.elnacional.cat/es/" TargetMode="External"/><Relationship Id="rId1040" Type="http://schemas.openxmlformats.org/officeDocument/2006/relationships/hyperlink" Target="https://pbs.twimg.com/media/DsjKM14WkAAvCXA.jpg" TargetMode="External"/><Relationship Id="rId1278" Type="http://schemas.openxmlformats.org/officeDocument/2006/relationships/hyperlink" Target="https://pbs.twimg.com/media/DsgrVNGXgAAzkjZ.jpg" TargetMode="External"/><Relationship Id="rId1485" Type="http://schemas.openxmlformats.org/officeDocument/2006/relationships/hyperlink" Target="https://www.nuevatribuna.es/opinion/jose-luis-lopez-bulla/violetas-imperiales-pablo-casado/20181120103644157616.html" TargetMode="External"/><Relationship Id="rId1692" Type="http://schemas.openxmlformats.org/officeDocument/2006/relationships/hyperlink" Target="https://m.eldiario.es/31f00feb_837816299/" TargetMode="External"/><Relationship Id="rId2329" Type="http://schemas.openxmlformats.org/officeDocument/2006/relationships/hyperlink" Target="https://twitter.com/PPopular/status/1064216515367628801" TargetMode="External"/><Relationship Id="rId2536" Type="http://schemas.openxmlformats.org/officeDocument/2006/relationships/hyperlink" Target="http://elregresodejuandemairena.blogspot.com.es/" TargetMode="External"/><Relationship Id="rId2743" Type="http://schemas.openxmlformats.org/officeDocument/2006/relationships/hyperlink" Target="https://pbs.twimg.com/media/DsSaNufV4AEOr_q.jpg" TargetMode="External"/><Relationship Id="rId410" Type="http://schemas.openxmlformats.org/officeDocument/2006/relationships/hyperlink" Target="https://m.eldiario.es/_31fac11c" TargetMode="External"/><Relationship Id="rId508" Type="http://schemas.openxmlformats.org/officeDocument/2006/relationships/hyperlink" Target="https://www.eldiario.es/_31fabdf9" TargetMode="External"/><Relationship Id="rId715" Type="http://schemas.openxmlformats.org/officeDocument/2006/relationships/hyperlink" Target="https://www.huffingtonpost.es/2018/11/22/tension-entre-pepa-bueno-y-pablo-casado-desde-esperanza-aguirre-no-he-tenido-tantas-dificultades-para-hacer-preguntas_a_23596803/" TargetMode="External"/><Relationship Id="rId922" Type="http://schemas.openxmlformats.org/officeDocument/2006/relationships/hyperlink" Target="http://pasionxespa&#241;a.es/" TargetMode="External"/><Relationship Id="rId1138" Type="http://schemas.openxmlformats.org/officeDocument/2006/relationships/hyperlink" Target="http://javiertorresmatasanos.blogspot.com.es/" TargetMode="External"/><Relationship Id="rId1345" Type="http://schemas.openxmlformats.org/officeDocument/2006/relationships/hyperlink" Target="http://www.huffingtonpost.es/" TargetMode="External"/><Relationship Id="rId1552" Type="http://schemas.openxmlformats.org/officeDocument/2006/relationships/hyperlink" Target="http://www.elmundo.es/espana.html" TargetMode="External"/><Relationship Id="rId1997" Type="http://schemas.openxmlformats.org/officeDocument/2006/relationships/hyperlink" Target="http://bit.ly/2Q6dj3X" TargetMode="External"/><Relationship Id="rId2603"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950" Type="http://schemas.openxmlformats.org/officeDocument/2006/relationships/hyperlink" Target="http://blogs.libertaddigital.com/enigmas-del-11-m/pablo-casado-entrega-la-justicia-a-pedro-sanchez-15104/" TargetMode="External"/><Relationship Id="rId1205" Type="http://schemas.openxmlformats.org/officeDocument/2006/relationships/hyperlink" Target="https://www.europapress.es/sociedad/noticia-cambio16-reconoce-talento-pedro-piqueras-carolina-marin-ivan-duque-pablo-casado-otros-20181120133047.html" TargetMode="External"/><Relationship Id="rId1857" Type="http://schemas.openxmlformats.org/officeDocument/2006/relationships/hyperlink" Target="http://www.facebook.com/inigo.goniiradi" TargetMode="External"/><Relationship Id="rId2810" Type="http://schemas.openxmlformats.org/officeDocument/2006/relationships/hyperlink" Target="http://www.laventanadelsur.es/" TargetMode="External"/><Relationship Id="rId2908" Type="http://schemas.openxmlformats.org/officeDocument/2006/relationships/hyperlink" Target="https://pbs.twimg.com/media/DsRNq9AX4AA1DdI.jpg" TargetMode="External"/><Relationship Id="rId51" Type="http://schemas.openxmlformats.org/officeDocument/2006/relationships/hyperlink" Target="http://elconfidencial.com/" TargetMode="External"/><Relationship Id="rId1412" Type="http://schemas.openxmlformats.org/officeDocument/2006/relationships/hyperlink" Target="http://playtele.teleame.com/" TargetMode="External"/><Relationship Id="rId1717" Type="http://schemas.openxmlformats.org/officeDocument/2006/relationships/hyperlink" Target="http://jordipsalvador.info/" TargetMode="External"/><Relationship Id="rId1924" Type="http://schemas.openxmlformats.org/officeDocument/2006/relationships/hyperlink" Target="https://www.eljueves.es/news/pablo-casado-propone-invadir-polonia-para-hacer-espana-mas-grande_2959" TargetMode="External"/><Relationship Id="rId298" Type="http://schemas.openxmlformats.org/officeDocument/2006/relationships/hyperlink" Target="http://pic.twitter.com/EynultrFNS" TargetMode="External"/><Relationship Id="rId158" Type="http://schemas.openxmlformats.org/officeDocument/2006/relationships/hyperlink" Target="http://www.whomples.es/" TargetMode="External"/><Relationship Id="rId2186" Type="http://schemas.openxmlformats.org/officeDocument/2006/relationships/hyperlink" Target="https://pbs.twimg.com/media/DsWyvRuWsAAQCMI.jpg" TargetMode="External"/><Relationship Id="rId2393" Type="http://schemas.openxmlformats.org/officeDocument/2006/relationships/hyperlink" Target="https://www.eldiario.es/escolar/mentiras-Pablo-Casado-Gurtel-Irak_6_828777140.html" TargetMode="External"/><Relationship Id="rId2698" Type="http://schemas.openxmlformats.org/officeDocument/2006/relationships/hyperlink" Target="https://www.lavanguardia.com/politica/20181118/453010973750/pablo-casado-nuevo-155-catalunya-andalucia-ilegalizar-cup.html?utm_source=twitter_lv&amp;utm_medium=social" TargetMode="External"/><Relationship Id="rId365" Type="http://schemas.openxmlformats.org/officeDocument/2006/relationships/hyperlink" Target="https://m.eldiario.es/_31fabdf9" TargetMode="External"/><Relationship Id="rId572" Type="http://schemas.openxmlformats.org/officeDocument/2006/relationships/hyperlink" Target="https://twitter.com/PSOE/status/1065580657211047942" TargetMode="External"/><Relationship Id="rId2046" Type="http://schemas.openxmlformats.org/officeDocument/2006/relationships/hyperlink" Target="http://diario16.com/denunciado-fiscal-pidio-archivo-del-caso-master-pablo-casado/" TargetMode="External"/><Relationship Id="rId2253" Type="http://schemas.openxmlformats.org/officeDocument/2006/relationships/hyperlink" Target="https://www.elplural.com/opinion/los-calvitos/la-historia-segun-pablo-casado_206557102" TargetMode="External"/><Relationship Id="rId2460" Type="http://schemas.openxmlformats.org/officeDocument/2006/relationships/hyperlink" Target="https://www.eldiario.es/_316622b4" TargetMode="External"/><Relationship Id="rId225" Type="http://schemas.openxmlformats.org/officeDocument/2006/relationships/hyperlink" Target="http://about.me/ieseccnn" TargetMode="External"/><Relationship Id="rId432" Type="http://schemas.openxmlformats.org/officeDocument/2006/relationships/hyperlink" Target="https://www.infolibre.es/noticias/economia/2018/11/23/la_ocde_tambien_admite_necesidad_reformar_los_impuestos_espana_para_recaudar_mas_redistribuir_riqueza_89135_1011.html" TargetMode="External"/><Relationship Id="rId877" Type="http://schemas.openxmlformats.org/officeDocument/2006/relationships/hyperlink" Target="http://albertocg.wixsite.com/ohalbert" TargetMode="External"/><Relationship Id="rId1062" Type="http://schemas.openxmlformats.org/officeDocument/2006/relationships/hyperlink" Target="http://notivenezuela.com/" TargetMode="External"/><Relationship Id="rId2113" Type="http://schemas.openxmlformats.org/officeDocument/2006/relationships/hyperlink" Target="https://pbs.twimg.com/media/DsXL_rNXgAAv-Dr.jpg" TargetMode="External"/><Relationship Id="rId2320" Type="http://schemas.openxmlformats.org/officeDocument/2006/relationships/hyperlink" Target="https://www.youtube.com/channel/UCY60GBj-H8SmayRG1UgDVWw" TargetMode="External"/><Relationship Id="rId2558" Type="http://schemas.openxmlformats.org/officeDocument/2006/relationships/hyperlink" Target="https://pbs.twimg.com/media/DsTN4bOWkAIjwnH.jpg" TargetMode="External"/><Relationship Id="rId2765" Type="http://schemas.openxmlformats.org/officeDocument/2006/relationships/hyperlink" Target="http://dlvr.it/QrWnQQ" TargetMode="External"/><Relationship Id="rId2972" Type="http://schemas.openxmlformats.org/officeDocument/2006/relationships/hyperlink" Target="http://blogs.libertaddigital.com/enigmas-del-11-m/pablo-casado-entrega-la-justicia-a-pedro-sanchez-15104/" TargetMode="External"/><Relationship Id="rId737" Type="http://schemas.openxmlformats.org/officeDocument/2006/relationships/hyperlink" Target="https://www.flickr.com/photos/102912567@N06/" TargetMode="External"/><Relationship Id="rId944" Type="http://schemas.openxmlformats.org/officeDocument/2006/relationships/hyperlink" Target="http://cadenaser.com/ser/2018/11/21/politica/1542835046_987617.amp.html?ssm=tw&amp;__twitter_impression=true" TargetMode="External"/><Relationship Id="rId1367" Type="http://schemas.openxmlformats.org/officeDocument/2006/relationships/hyperlink" Target="https://pbs.twimg.com/media/DseWvAFU8AAun63.jpg" TargetMode="External"/><Relationship Id="rId1574" Type="http://schemas.openxmlformats.org/officeDocument/2006/relationships/hyperlink" Target="http://bit.ly/2A7mB5M" TargetMode="External"/><Relationship Id="rId1781" Type="http://schemas.openxmlformats.org/officeDocument/2006/relationships/hyperlink" Target="http://mvazurdo.wix.com/marianozurdo" TargetMode="External"/><Relationship Id="rId2418" Type="http://schemas.openxmlformats.org/officeDocument/2006/relationships/hyperlink" Target="https://twitter.com/pablocasado_/status/1063176784601067521" TargetMode="External"/><Relationship Id="rId2625" Type="http://schemas.openxmlformats.org/officeDocument/2006/relationships/hyperlink" Target="http://ver.20m.es/5hdpe1" TargetMode="External"/><Relationship Id="rId2832" Type="http://schemas.openxmlformats.org/officeDocument/2006/relationships/hyperlink" Target="https://amp.lasexta.com/noticias/nacional/elecciones-andalucia/pablo-casado-se-apunta-al-revisionismo-historico-nosotros-no-colonizabamos-lo-que-haciamos-era-tener-una-espana-mas-grande-video_201811175bf050940cf288806d386365.html?__twitter_impression=true" TargetMode="External"/><Relationship Id="rId73" Type="http://schemas.openxmlformats.org/officeDocument/2006/relationships/hyperlink" Target="https://www.eldiario.es/_31fba826" TargetMode="External"/><Relationship Id="rId804" Type="http://schemas.openxmlformats.org/officeDocument/2006/relationships/hyperlink" Target="https://m.eldiario.es/31fabdf9_838516217/" TargetMode="External"/><Relationship Id="rId1227" Type="http://schemas.openxmlformats.org/officeDocument/2006/relationships/hyperlink" Target="https://pbs.twimg.com/media/DseBLfmXoAcTj1A.jpg" TargetMode="External"/><Relationship Id="rId1434" Type="http://schemas.openxmlformats.org/officeDocument/2006/relationships/hyperlink" Target="https://www.youtube.com/watch?v=IZfcG0rPxrs" TargetMode="External"/><Relationship Id="rId1641" Type="http://schemas.openxmlformats.org/officeDocument/2006/relationships/hyperlink" Target="http://www.stopsucesiones.org/" TargetMode="External"/><Relationship Id="rId1879" Type="http://schemas.openxmlformats.org/officeDocument/2006/relationships/hyperlink" Target="http://pic.twitter.com/2ItSqiwO8l" TargetMode="External"/><Relationship Id="rId1501" Type="http://schemas.openxmlformats.org/officeDocument/2006/relationships/hyperlink" Target="http://www.digo-yo.es/author/esparroqui/" TargetMode="External"/><Relationship Id="rId1739" Type="http://schemas.openxmlformats.org/officeDocument/2006/relationships/hyperlink" Target="https://okdiario.com/investigacion/2018/11/20/cosido-destino-80-agentes-espiar-barcenas-rescatar-documentos-sensibles-rajoy-soraya-arenas-cospedal-3369837" TargetMode="External"/><Relationship Id="rId1946" Type="http://schemas.openxmlformats.org/officeDocument/2006/relationships/hyperlink" Target="http://pic.twitter.com/F5r2A6Ye2P" TargetMode="External"/><Relationship Id="rId1806" Type="http://schemas.openxmlformats.org/officeDocument/2006/relationships/hyperlink" Target="http://www.elperiodico.cat/ca/politica/" TargetMode="External"/><Relationship Id="rId387" Type="http://schemas.openxmlformats.org/officeDocument/2006/relationships/hyperlink" Target="https://pbs.twimg.com/media/DsmXLiPWoAUra2Z.jpg" TargetMode="External"/><Relationship Id="rId594" Type="http://schemas.openxmlformats.org/officeDocument/2006/relationships/hyperlink" Target="https://pbs.twimg.com/media/DsmIqq6XQAAZwcg.jpg" TargetMode="External"/><Relationship Id="rId2068" Type="http://schemas.openxmlformats.org/officeDocument/2006/relationships/hyperlink" Target="http://diario16.com/denunciado-fiscal-pidio-archivo-del-caso-master-pablo-casado/" TargetMode="External"/><Relationship Id="rId2275" Type="http://schemas.openxmlformats.org/officeDocument/2006/relationships/hyperlink" Target="https://pbs.twimg.com/media/DsWT0XTUwAA2mPK.jpg" TargetMode="External"/><Relationship Id="rId247" Type="http://schemas.openxmlformats.org/officeDocument/2006/relationships/hyperlink" Target="https://www.eldiario.es/_31fabdf9" TargetMode="External"/><Relationship Id="rId899" Type="http://schemas.openxmlformats.org/officeDocument/2006/relationships/hyperlink" Target="http://www.masfrioquerobandonieve.blogspot.com/" TargetMode="External"/><Relationship Id="rId1084" Type="http://schemas.openxmlformats.org/officeDocument/2006/relationships/hyperlink" Target="http://www.canariasopina.com.es/" TargetMode="External"/><Relationship Id="rId2482" Type="http://schemas.openxmlformats.org/officeDocument/2006/relationships/hyperlink" Target="https://www.elmundo.es/andalucia/2018/11/18/5bf1600fe2704ed9718b45f0.html" TargetMode="External"/><Relationship Id="rId2787" Type="http://schemas.openxmlformats.org/officeDocument/2006/relationships/hyperlink" Target="http://pollo-sincabeza.blogspot.com/" TargetMode="External"/><Relationship Id="rId107" Type="http://schemas.openxmlformats.org/officeDocument/2006/relationships/hyperlink" Target="https://pbs.twimg.com/media/Dsr2DqwWwAEfcJv.jpg" TargetMode="External"/><Relationship Id="rId454" Type="http://schemas.openxmlformats.org/officeDocument/2006/relationships/hyperlink" Target="http://lagacetadealmeria.es/pablo-casado-visita-la-provincia-de-almeria/" TargetMode="External"/><Relationship Id="rId661" Type="http://schemas.openxmlformats.org/officeDocument/2006/relationships/hyperlink" Target="https://www.youtube.com/watch?v=2uOSVO_xH8s" TargetMode="External"/><Relationship Id="rId759" Type="http://schemas.openxmlformats.org/officeDocument/2006/relationships/hyperlink" Target="http://jordicornet.cat/" TargetMode="External"/><Relationship Id="rId966" Type="http://schemas.openxmlformats.org/officeDocument/2006/relationships/hyperlink" Target="http://es-la.facebook.com/cecilio.castro.777" TargetMode="External"/><Relationship Id="rId1291" Type="http://schemas.openxmlformats.org/officeDocument/2006/relationships/hyperlink" Target="https://buff.ly/2TpnmjD" TargetMode="External"/><Relationship Id="rId1389" Type="http://schemas.openxmlformats.org/officeDocument/2006/relationships/hyperlink" Target="http://www.saenzsotogrande.blogspot.com/" TargetMode="External"/><Relationship Id="rId1596" Type="http://schemas.openxmlformats.org/officeDocument/2006/relationships/hyperlink" Target="https://pbs.twimg.com/media/DscgP4QXgAEjzKQ.jpg" TargetMode="External"/><Relationship Id="rId2135" Type="http://schemas.openxmlformats.org/officeDocument/2006/relationships/hyperlink" Target="https://twiter.com/agrnineta" TargetMode="External"/><Relationship Id="rId2342" Type="http://schemas.openxmlformats.org/officeDocument/2006/relationships/hyperlink" Target="https://www.eldiario.es/_31e5622c" TargetMode="External"/><Relationship Id="rId2647" Type="http://schemas.openxmlformats.org/officeDocument/2006/relationships/hyperlink" Target="https://pbs.twimg.com/media/DsSz11mXgAABrOx.jpg" TargetMode="External"/><Relationship Id="rId314" Type="http://schemas.openxmlformats.org/officeDocument/2006/relationships/hyperlink" Target="https://m.eldiario.es/_31fabdf9" TargetMode="External"/><Relationship Id="rId521" Type="http://schemas.openxmlformats.org/officeDocument/2006/relationships/hyperlink" Target="https://diario6.com/pablo-casado-el-hombre-que-cobra-1-842-euros-en-dietas-por-ser-diputado-por-avila-pero-que-vive-y-vota-en-madrid/" TargetMode="External"/><Relationship Id="rId619" Type="http://schemas.openxmlformats.org/officeDocument/2006/relationships/hyperlink" Target="https://m.eldiario.es/_31fabdf9" TargetMode="External"/><Relationship Id="rId1151" Type="http://schemas.openxmlformats.org/officeDocument/2006/relationships/hyperlink" Target="https://pbs.twimg.com/media/DshcjBQWoAEzhNl.jpg" TargetMode="External"/><Relationship Id="rId1249" Type="http://schemas.openxmlformats.org/officeDocument/2006/relationships/hyperlink" Target="https://www.lavanguardia.com/politica/20181121/453077420673/congreso-diputados-sesion-control-gobierno-pedro-sanchez-hoy-en-directo.html?utm_source=twitter_lv&amp;utm_medium=social" TargetMode="External"/><Relationship Id="rId2202" Type="http://schemas.openxmlformats.org/officeDocument/2006/relationships/hyperlink" Target="http://jordiarmadans.wordpress.com/" TargetMode="External"/><Relationship Id="rId2854" Type="http://schemas.openxmlformats.org/officeDocument/2006/relationships/hyperlink" Target="https://pbs.twimg.com/media/DsR1LN1W0AE49ZA.jpg" TargetMode="External"/><Relationship Id="rId95" Type="http://schemas.openxmlformats.org/officeDocument/2006/relationships/hyperlink" Target="http://youtu.be/kT03nLG97AU?a" TargetMode="External"/><Relationship Id="rId826" Type="http://schemas.openxmlformats.org/officeDocument/2006/relationships/hyperlink" Target="https://twitter.com/GuillemCristo/status/1065554193073795072" TargetMode="External"/><Relationship Id="rId1011" Type="http://schemas.openxmlformats.org/officeDocument/2006/relationships/hyperlink" Target="https://radiocorazonvalencianoticias.blogspot.com/2018/11/justicia-pablo-casado-propone-que-los.html?spref=tw" TargetMode="External"/><Relationship Id="rId1109" Type="http://schemas.openxmlformats.org/officeDocument/2006/relationships/hyperlink" Target="https://www.elmundo.es/espana/2018/11/21/5bf52116268e3e98538b45df.html" TargetMode="External"/><Relationship Id="rId1456" Type="http://schemas.openxmlformats.org/officeDocument/2006/relationships/hyperlink" Target="https://pbs.twimg.com/media/DsdQxsXW0AMG918.jpg" TargetMode="External"/><Relationship Id="rId1663" Type="http://schemas.openxmlformats.org/officeDocument/2006/relationships/hyperlink" Target="https://lopezbulla.blogspot.com/2018/11/las-violetas-imperiales-de-pablo-casado.html?spref=tw" TargetMode="External"/><Relationship Id="rId1870" Type="http://schemas.openxmlformats.org/officeDocument/2006/relationships/hyperlink" Target="https://pbs.twimg.com/media/DsZHmURXgAA-0_7.jpg" TargetMode="External"/><Relationship Id="rId1968" Type="http://schemas.openxmlformats.org/officeDocument/2006/relationships/hyperlink" Target="https://www.libertaddigital.com/espana/2018-11-19/ciudadanos-pide-explicaciones-urgentes-de-casado-sobre-los-mensajes-de-cosido-1276628471/" TargetMode="External"/><Relationship Id="rId2507" Type="http://schemas.openxmlformats.org/officeDocument/2006/relationships/hyperlink" Target="https://www.youtube.com/channel/UCzxgc4H0oHpD_o05R7wmEAA" TargetMode="External"/><Relationship Id="rId2714" Type="http://schemas.openxmlformats.org/officeDocument/2006/relationships/hyperlink" Target="http://www.unoscuantostextos.org/" TargetMode="External"/><Relationship Id="rId2921"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1316" Type="http://schemas.openxmlformats.org/officeDocument/2006/relationships/hyperlink" Target="https://pbs.twimg.com/media/DsfgJTNV4AAcfax.jpg" TargetMode="External"/><Relationship Id="rId1523" Type="http://schemas.openxmlformats.org/officeDocument/2006/relationships/hyperlink" Target="https://www.elmundo.es/espana/2018/11/20/5bf4064222601d460c8b45ee.html" TargetMode="External"/><Relationship Id="rId1730" Type="http://schemas.openxmlformats.org/officeDocument/2006/relationships/hyperlink" Target="https://www.elplural.com/politica/el-juez-senador-del-pp-compro-una-finca-de-3-941-metros-cuadrados-por-676-euros_206521102" TargetMode="External"/><Relationship Id="rId22" Type="http://schemas.openxmlformats.org/officeDocument/2006/relationships/hyperlink" Target="https://www.eldiario.es/_31fba826" TargetMode="External"/><Relationship Id="rId1828" Type="http://schemas.openxmlformats.org/officeDocument/2006/relationships/hyperlink" Target="http://diario16.com/denunciado-fiscal-pidio-archivo-del-caso-master-pablo-casado/" TargetMode="External"/><Relationship Id="rId171" Type="http://schemas.openxmlformats.org/officeDocument/2006/relationships/hyperlink" Target="https://www.eldiario.es/_31fac11c" TargetMode="External"/><Relationship Id="rId2297" Type="http://schemas.openxmlformats.org/officeDocument/2006/relationships/hyperlink" Target="https://m.eldiario.es/31e5622c_837116460/" TargetMode="External"/><Relationship Id="rId269" Type="http://schemas.openxmlformats.org/officeDocument/2006/relationships/hyperlink" Target="https://bit.ly/2R3Ilqn" TargetMode="External"/><Relationship Id="rId476" Type="http://schemas.openxmlformats.org/officeDocument/2006/relationships/hyperlink" Target="http://www.pedrocastro.es/" TargetMode="External"/><Relationship Id="rId683" Type="http://schemas.openxmlformats.org/officeDocument/2006/relationships/hyperlink" Target="https://m.europapress.es/sociedad/noticia-cambio16-reconoce-talento-pedro-piqueras-carolina-marin-ivan-duque-pablo-casado-otros-20181120133047.html" TargetMode="External"/><Relationship Id="rId890" Type="http://schemas.openxmlformats.org/officeDocument/2006/relationships/hyperlink" Target="https://www.eldiario.es/_31f0145a" TargetMode="External"/><Relationship Id="rId2157" Type="http://schemas.openxmlformats.org/officeDocument/2006/relationships/hyperlink" Target="https://www.facebook.com/pages/Hablemos-Claro/1463862153840118?ref=hl" TargetMode="External"/><Relationship Id="rId2364" Type="http://schemas.openxmlformats.org/officeDocument/2006/relationships/hyperlink" Target="https://www.vozpopuli.com/_47092341" TargetMode="External"/><Relationship Id="rId2571" Type="http://schemas.openxmlformats.org/officeDocument/2006/relationships/hyperlink" Target="https://pbs.twimg.com/media/DsTJ1GpWsAAX_rO.jpg" TargetMode="External"/><Relationship Id="rId129" Type="http://schemas.openxmlformats.org/officeDocument/2006/relationships/hyperlink" Target="http://www.lagacetadesalamanca.es/angel-fdez-silva/" TargetMode="External"/><Relationship Id="rId336" Type="http://schemas.openxmlformats.org/officeDocument/2006/relationships/hyperlink" Target="https://m.eldiario.es/_31fba826" TargetMode="External"/><Relationship Id="rId543" Type="http://schemas.openxmlformats.org/officeDocument/2006/relationships/hyperlink" Target="http://youtu.be/-rYAYb8hm4c?a" TargetMode="External"/><Relationship Id="rId988" Type="http://schemas.openxmlformats.org/officeDocument/2006/relationships/hyperlink" Target="https://pbs.twimg.com/media/DsjtLE5X4AEzXQW.jpg" TargetMode="External"/><Relationship Id="rId1173" Type="http://schemas.openxmlformats.org/officeDocument/2006/relationships/hyperlink" Target="https://twitter.com/Pabddefuga/status/1065197855416164352" TargetMode="External"/><Relationship Id="rId1380" Type="http://schemas.openxmlformats.org/officeDocument/2006/relationships/hyperlink" Target="https://buff.ly/2TssKlQ" TargetMode="External"/><Relationship Id="rId2017" Type="http://schemas.openxmlformats.org/officeDocument/2006/relationships/hyperlink" Target="http://consell.republicat.cat/" TargetMode="External"/><Relationship Id="rId2224" Type="http://schemas.openxmlformats.org/officeDocument/2006/relationships/hyperlink" Target="https://maldita.es/malditodato/nadie-habla-bable-en-asturias-el-truco-de-pablo-casado/" TargetMode="External"/><Relationship Id="rId2669" Type="http://schemas.openxmlformats.org/officeDocument/2006/relationships/hyperlink" Target="https://pbs.twimg.com/media/DsSsInvXgAAyHTZ.jpg" TargetMode="External"/><Relationship Id="rId2876" Type="http://schemas.openxmlformats.org/officeDocument/2006/relationships/hyperlink" Target="https://www.huffingtonpost.es/2018/11/17/pablo-casado-los-espanoles-no-colonizabamos-lo-que-haciamos-era-tener-una-espana-mas-grande_a_23592393/" TargetMode="External"/><Relationship Id="rId403" Type="http://schemas.openxmlformats.org/officeDocument/2006/relationships/hyperlink" Target="https://pbs.twimg.com/media/Dso8NL8VsAACmH0.jpg" TargetMode="External"/><Relationship Id="rId750" Type="http://schemas.openxmlformats.org/officeDocument/2006/relationships/hyperlink" Target="https://www.eldiario.es/_31fabdf9" TargetMode="External"/><Relationship Id="rId848" Type="http://schemas.openxmlformats.org/officeDocument/2006/relationships/hyperlink" Target="https://www.facebook.com/1432784106943404/posts/2183694775185663/" TargetMode="External"/><Relationship Id="rId1033" Type="http://schemas.openxmlformats.org/officeDocument/2006/relationships/hyperlink" Target="https://www.facebook.com/bernabe.siglo21/videos/2196891027008744/" TargetMode="External"/><Relationship Id="rId1478" Type="http://schemas.openxmlformats.org/officeDocument/2006/relationships/hyperlink" Target="http://gentuza.si/" TargetMode="External"/><Relationship Id="rId1685" Type="http://schemas.openxmlformats.org/officeDocument/2006/relationships/hyperlink" Target="https://www.elconfidencial.com/espana/2018-11-20/manuel-marchena-renovacion-cgpj-partido-popular_1656798/?utm_source=twitter&amp;utm_medium=social&amp;utm_campaign=BotoneraWeb" TargetMode="External"/><Relationship Id="rId1892" Type="http://schemas.openxmlformats.org/officeDocument/2006/relationships/hyperlink" Target="http://pic.twitter.com/jl1DXtXZKA" TargetMode="External"/><Relationship Id="rId2431" Type="http://schemas.openxmlformats.org/officeDocument/2006/relationships/hyperlink" Target="https://pbs.twimg.com/media/DsT4j2kWwAANxhR.jpg" TargetMode="External"/><Relationship Id="rId2529" Type="http://schemas.openxmlformats.org/officeDocument/2006/relationships/hyperlink" Target="https://goo.gl/Wcixss" TargetMode="External"/><Relationship Id="rId2736" Type="http://schemas.openxmlformats.org/officeDocument/2006/relationships/hyperlink" Target="https://www.elmundo.es/andalucia/2018/11/18/5bf1600fe2704ed9718b45f0.html" TargetMode="External"/><Relationship Id="rId610" Type="http://schemas.openxmlformats.org/officeDocument/2006/relationships/hyperlink" Target="https://pbs.twimg.com/media/Dsn6kovUwAAcyxi.jpg" TargetMode="External"/><Relationship Id="rId708" Type="http://schemas.openxmlformats.org/officeDocument/2006/relationships/hyperlink" Target="https://www.eldiario.es/_31fabdf9" TargetMode="External"/><Relationship Id="rId915" Type="http://schemas.openxmlformats.org/officeDocument/2006/relationships/hyperlink" Target="http://www.facebook.com/profile.php?id=727486311&amp;sk=info" TargetMode="External"/><Relationship Id="rId1240" Type="http://schemas.openxmlformats.org/officeDocument/2006/relationships/hyperlink" Target="http://www.libertadfm.es/" TargetMode="External"/><Relationship Id="rId1338" Type="http://schemas.openxmlformats.org/officeDocument/2006/relationships/hyperlink" Target="http://www.bancodeltiempoburgos.es/" TargetMode="External"/><Relationship Id="rId1545" Type="http://schemas.openxmlformats.org/officeDocument/2006/relationships/hyperlink" Target="https://www.facebook.com/coffeebreak.com.es" TargetMode="External"/><Relationship Id="rId2943" Type="http://schemas.openxmlformats.org/officeDocument/2006/relationships/hyperlink" Target="http://jordipsalvador.info/" TargetMode="External"/><Relationship Id="rId1100" Type="http://schemas.openxmlformats.org/officeDocument/2006/relationships/hyperlink" Target="http://www.vozpopuli.com/" TargetMode="External"/><Relationship Id="rId1405" Type="http://schemas.openxmlformats.org/officeDocument/2006/relationships/hyperlink" Target="https://www.elmundotoday.com/2018/11/pedro-sanchez-y-pablo-casado-trabajaran-como-jueces-por-las-tardes-mientras-no-se-escoja-a-un-nuevo-presidente-del-poder-judicial/" TargetMode="External"/><Relationship Id="rId1752" Type="http://schemas.openxmlformats.org/officeDocument/2006/relationships/hyperlink" Target="https://jaumesatorrahervera.wordpress.com/2018/11/20/anabel-alonso-destroza-a-pablo-casado-en-twitter-con-una-mofa/" TargetMode="External"/><Relationship Id="rId2803" Type="http://schemas.openxmlformats.org/officeDocument/2006/relationships/hyperlink" Target="https://www.youtube.com/c/AlonsoDM" TargetMode="External"/><Relationship Id="rId44" Type="http://schemas.openxmlformats.org/officeDocument/2006/relationships/hyperlink" Target="https://www.facebook.com/nuevasgeneraciones.calahorra/posts/921955187975231" TargetMode="External"/><Relationship Id="rId1612" Type="http://schemas.openxmlformats.org/officeDocument/2006/relationships/hyperlink" Target="http://somosecd.com/a0bkm4" TargetMode="External"/><Relationship Id="rId1917" Type="http://schemas.openxmlformats.org/officeDocument/2006/relationships/hyperlink" Target="https://www.huffingtonpost.es/2018/11/17/pablo-casado-los-espanoles-no-colonizabamos-lo-que-haciamos-era-tener-una-espana-mas-grande_a_23592393/" TargetMode="External"/><Relationship Id="rId193" Type="http://schemas.openxmlformats.org/officeDocument/2006/relationships/hyperlink" Target="https://m.eldiario.es/_31fba826" TargetMode="External"/><Relationship Id="rId498" Type="http://schemas.openxmlformats.org/officeDocument/2006/relationships/hyperlink" Target="https://m.eldiario.es/_31fabdf9" TargetMode="External"/><Relationship Id="rId2081" Type="http://schemas.openxmlformats.org/officeDocument/2006/relationships/hyperlink" Target="http://diario16.com/denunciado-fiscal-pidio-archivo-del-caso-master-pablo-casado/" TargetMode="External"/><Relationship Id="rId2179" Type="http://schemas.openxmlformats.org/officeDocument/2006/relationships/hyperlink" Target="https://pbs.twimg.com/media/DsW1N83U0AAn1HZ.jpg" TargetMode="External"/><Relationship Id="rId260" Type="http://schemas.openxmlformats.org/officeDocument/2006/relationships/hyperlink" Target="https://www.eldiario.es/_31fba826" TargetMode="External"/><Relationship Id="rId2386" Type="http://schemas.openxmlformats.org/officeDocument/2006/relationships/hyperlink" Target="http://www.andaluciacentro.com/" TargetMode="External"/><Relationship Id="rId2593" Type="http://schemas.openxmlformats.org/officeDocument/2006/relationships/hyperlink" Target="https://www.republica.com/2018/11/18/pablo-casado-acusa-a-pedro-sanchez-de-traicion-por-no-exigir-un-gibraltar-espanol/" TargetMode="External"/><Relationship Id="rId120" Type="http://schemas.openxmlformats.org/officeDocument/2006/relationships/hyperlink" Target="https://pbs.twimg.com/media/DsrvxBJXoAAoWlN.jpg" TargetMode="External"/><Relationship Id="rId358" Type="http://schemas.openxmlformats.org/officeDocument/2006/relationships/hyperlink" Target="https://www.eldiario.es/_31fba826" TargetMode="External"/><Relationship Id="rId565" Type="http://schemas.openxmlformats.org/officeDocument/2006/relationships/hyperlink" Target="http://www.lasexta.com/programas/mas-vale-tarde/" TargetMode="External"/><Relationship Id="rId772" Type="http://schemas.openxmlformats.org/officeDocument/2006/relationships/hyperlink" Target="http://www.huffingtonpost.es/" TargetMode="External"/><Relationship Id="rId1195" Type="http://schemas.openxmlformats.org/officeDocument/2006/relationships/hyperlink" Target="http://www.grancanariatv.com/" TargetMode="External"/><Relationship Id="rId2039" Type="http://schemas.openxmlformats.org/officeDocument/2006/relationships/hyperlink" Target="https://pbs.twimg.com/media/DsXpE7WX4AA1EdL.jpg" TargetMode="External"/><Relationship Id="rId2246" Type="http://schemas.openxmlformats.org/officeDocument/2006/relationships/hyperlink" Target="http://apdhcro.org/" TargetMode="External"/><Relationship Id="rId2453" Type="http://schemas.openxmlformats.org/officeDocument/2006/relationships/hyperlink" Target="https://pbs.twimg.com/media/DsTxjIOWsAQDiDv.jpg" TargetMode="External"/><Relationship Id="rId2660" Type="http://schemas.openxmlformats.org/officeDocument/2006/relationships/hyperlink" Target="http://www.convivenciaysolidaridad.blogspot.com/" TargetMode="External"/><Relationship Id="rId2898" Type="http://schemas.openxmlformats.org/officeDocument/2006/relationships/hyperlink" Target="http://www.huffingtonpost.es/" TargetMode="External"/><Relationship Id="rId218" Type="http://schemas.openxmlformats.org/officeDocument/2006/relationships/hyperlink" Target="https://pbs.twimg.com/media/DsrS8S6W0AYh5th.jpg" TargetMode="External"/><Relationship Id="rId425" Type="http://schemas.openxmlformats.org/officeDocument/2006/relationships/hyperlink" Target="http://laeuropaopacadelasfinanzas.com/" TargetMode="External"/><Relationship Id="rId632" Type="http://schemas.openxmlformats.org/officeDocument/2006/relationships/hyperlink" Target="https://www.linkedin.com/pulse/una-vision-suarista-y-aznarista-sobre-la-necesidad-de-jorge-zuazola/?published=t" TargetMode="External"/><Relationship Id="rId1055" Type="http://schemas.openxmlformats.org/officeDocument/2006/relationships/hyperlink" Target="https://pbs.twimg.com/media/Dsi2T9xW0AAQrDJ.jpg" TargetMode="External"/><Relationship Id="rId1262" Type="http://schemas.openxmlformats.org/officeDocument/2006/relationships/hyperlink" Target="http://bit.ly/2QYVn8P" TargetMode="External"/><Relationship Id="rId2106" Type="http://schemas.openxmlformats.org/officeDocument/2006/relationships/hyperlink" Target="http://www.digo-yo.es/author/esparroqui/" TargetMode="External"/><Relationship Id="rId2313" Type="http://schemas.openxmlformats.org/officeDocument/2006/relationships/hyperlink" Target="https://www.youtube.com/channel/UCY60GBj-H8SmayRG1UgDVWw" TargetMode="External"/><Relationship Id="rId2520" Type="http://schemas.openxmlformats.org/officeDocument/2006/relationships/hyperlink" Target="http://cherinola-cherinolasweb.blogspot.com/" TargetMode="External"/><Relationship Id="rId2758" Type="http://schemas.openxmlformats.org/officeDocument/2006/relationships/hyperlink" Target="http://www.ppmontilla.es/" TargetMode="External"/><Relationship Id="rId2965" Type="http://schemas.openxmlformats.org/officeDocument/2006/relationships/hyperlink" Target="http://hankerkizia.tumblr.com/" TargetMode="External"/><Relationship Id="rId937" Type="http://schemas.openxmlformats.org/officeDocument/2006/relationships/hyperlink" Target="https://www.lavanguardia.com/politica/20181117/452992780484/pablo-casado-espana-no-colonizaba-tener-espana-mas-grande.html?utm_source=facebook&amp;utm_medium=social&amp;utm_content=politica&amp;utm_campaign=lv&amp;fbclid=IwAR1uOdH7trwX9xDPOTPUo12jzNdChFoPoV9TBGZ-_uCbnYL45Y4lnGnQPuY" TargetMode="External"/><Relationship Id="rId1122" Type="http://schemas.openxmlformats.org/officeDocument/2006/relationships/hyperlink" Target="https://www.facebook.com/psoe.larodaandalucia/videos/1989660121081004/" TargetMode="External"/><Relationship Id="rId1567" Type="http://schemas.openxmlformats.org/officeDocument/2006/relationships/hyperlink" Target="http://www.luciorecalde.com/" TargetMode="External"/><Relationship Id="rId1774" Type="http://schemas.openxmlformats.org/officeDocument/2006/relationships/hyperlink" Target="https://m.eldiario.es/31eabb31_837466929/" TargetMode="External"/><Relationship Id="rId1981" Type="http://schemas.openxmlformats.org/officeDocument/2006/relationships/hyperlink" Target="http://www.multiforo.eu/" TargetMode="External"/><Relationship Id="rId2618" Type="http://schemas.openxmlformats.org/officeDocument/2006/relationships/hyperlink" Target="http://elsexodelasmoscas.blogspot.com/" TargetMode="External"/><Relationship Id="rId2825" Type="http://schemas.openxmlformats.org/officeDocument/2006/relationships/hyperlink" Target="http://blogs.libertaddigital.com/enigmas-del-11-m/pablo-casado-entrega-la-justicia-a-pedro-sanchez-15104/" TargetMode="External"/><Relationship Id="rId66" Type="http://schemas.openxmlformats.org/officeDocument/2006/relationships/hyperlink" Target="https://pbs.twimg.com/media/DssASG2WwAA18Gq.jpg" TargetMode="External"/><Relationship Id="rId1427" Type="http://schemas.openxmlformats.org/officeDocument/2006/relationships/hyperlink" Target="https://www.elmundo.es/espana/2018/11/20/5bf3eb5022601d317c8b45a2.html" TargetMode="External"/><Relationship Id="rId1634" Type="http://schemas.openxmlformats.org/officeDocument/2006/relationships/hyperlink" Target="https://stopsucesiones.org/%f0%9f%9b%91el-presidente-del-partido-popular-pablo-casado-se-compromete-con-stop-sucesiones-a-suprimir-el-impuesto-a-las-herencias-en-toda-espana/" TargetMode="External"/><Relationship Id="rId1841" Type="http://schemas.openxmlformats.org/officeDocument/2006/relationships/hyperlink" Target="https://twitter.com/richsar46/status/1064478116104548352" TargetMode="External"/><Relationship Id="rId1939" Type="http://schemas.openxmlformats.org/officeDocument/2006/relationships/hyperlink" Target="https://okdiario.com/general/2018/11/19/casado-suma-idea-del-adelanto-electoral-pp-esta-preparado-ganar-3367348" TargetMode="External"/><Relationship Id="rId1701" Type="http://schemas.openxmlformats.org/officeDocument/2006/relationships/hyperlink" Target="https://pbs.twimg.com/media/DsbtiijWwAUbmPk.jpg" TargetMode="External"/><Relationship Id="rId282" Type="http://schemas.openxmlformats.org/officeDocument/2006/relationships/hyperlink" Target="http://flickr.com/photos/126163761@N02/" TargetMode="External"/><Relationship Id="rId587" Type="http://schemas.openxmlformats.org/officeDocument/2006/relationships/hyperlink" Target="http://pradoalberdi.wordpress.com/" TargetMode="External"/><Relationship Id="rId2170" Type="http://schemas.openxmlformats.org/officeDocument/2006/relationships/hyperlink" Target="https://pbs.twimg.com/media/DsW5h5ZWoAAoJPv.jpg" TargetMode="External"/><Relationship Id="rId2268"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8" Type="http://schemas.openxmlformats.org/officeDocument/2006/relationships/hyperlink" Target="https://www.elconfidencial.com/espana/2018-11-23/brexit-pablo-casado-apoyo-gobierno-veto_1664574/" TargetMode="External"/><Relationship Id="rId142" Type="http://schemas.openxmlformats.org/officeDocument/2006/relationships/hyperlink" Target="https://m.eldiario.es/_31fba826" TargetMode="External"/><Relationship Id="rId447" Type="http://schemas.openxmlformats.org/officeDocument/2006/relationships/hyperlink" Target="https://www.eldiario.es/_31fba826" TargetMode="External"/><Relationship Id="rId794" Type="http://schemas.openxmlformats.org/officeDocument/2006/relationships/hyperlink" Target="https://pbs.twimg.com/media/DsmoH7RXgAEJ3Hv.jpg" TargetMode="External"/><Relationship Id="rId1077" Type="http://schemas.openxmlformats.org/officeDocument/2006/relationships/hyperlink" Target="https://www.puroarteflamencojerez.com/" TargetMode="External"/><Relationship Id="rId2030" Type="http://schemas.openxmlformats.org/officeDocument/2006/relationships/hyperlink" Target="http://www.catradio.cat/" TargetMode="External"/><Relationship Id="rId2128" Type="http://schemas.openxmlformats.org/officeDocument/2006/relationships/hyperlink" Target="http://www.leobassi.com/" TargetMode="External"/><Relationship Id="rId2475" Type="http://schemas.openxmlformats.org/officeDocument/2006/relationships/hyperlink" Target="https://pbs.twimg.com/media/DsOcxMsXgAAJxb8.jpg" TargetMode="External"/><Relationship Id="rId2682" Type="http://schemas.openxmlformats.org/officeDocument/2006/relationships/hyperlink" Target="http://instagram.com/vanesapm9" TargetMode="External"/><Relationship Id="rId654" Type="http://schemas.openxmlformats.org/officeDocument/2006/relationships/hyperlink" Target="http://politica.elpais.com/" TargetMode="External"/><Relationship Id="rId861" Type="http://schemas.openxmlformats.org/officeDocument/2006/relationships/hyperlink" Target="https://twitter.com/ErnestoEkaizer/status/1065360735218409477" TargetMode="External"/><Relationship Id="rId959" Type="http://schemas.openxmlformats.org/officeDocument/2006/relationships/hyperlink" Target="http://diario6.com/pablo-casado-el-hombre-que-cobra-1-842-euros-en-dietas-por-ser-diputado-por-avila-pero-que-vive-y-vota-en-madrid/" TargetMode="External"/><Relationship Id="rId1284" Type="http://schemas.openxmlformats.org/officeDocument/2006/relationships/hyperlink" Target="http://red-juridica.com/" TargetMode="External"/><Relationship Id="rId1491" Type="http://schemas.openxmlformats.org/officeDocument/2006/relationships/hyperlink" Target="https://www.elmundotoday.com/2018/11/pedro-sanchez-y-pablo-casado-trabajaran-como-jueces-por-las-tardes-mientras-no-se-escoja-a-un-nuevo-presidente-del-poder-judicial/" TargetMode="External"/><Relationship Id="rId1589" Type="http://schemas.openxmlformats.org/officeDocument/2006/relationships/hyperlink" Target="http://diario16.com/cosido-me-sien" TargetMode="External"/><Relationship Id="rId2335" Type="http://schemas.openxmlformats.org/officeDocument/2006/relationships/hyperlink" Target="https://ift.tt/2FsXi47" TargetMode="External"/><Relationship Id="rId2542" Type="http://schemas.openxmlformats.org/officeDocument/2006/relationships/hyperlink" Target="https://somoscastillalamancha.com/" TargetMode="External"/><Relationship Id="rId307" Type="http://schemas.openxmlformats.org/officeDocument/2006/relationships/hyperlink" Target="https://www.eldiario.es/escolar/Pablo-Casado-Poder-Judicial-Cosido_6_838576166.html" TargetMode="External"/><Relationship Id="rId514" Type="http://schemas.openxmlformats.org/officeDocument/2006/relationships/hyperlink" Target="https://m.eldiario.es/_31fabdf9" TargetMode="External"/><Relationship Id="rId721" Type="http://schemas.openxmlformats.org/officeDocument/2006/relationships/hyperlink" Target="https://www.facebook.com/abogadoabogado.es/videos/362348344335974/" TargetMode="External"/><Relationship Id="rId1144" Type="http://schemas.openxmlformats.org/officeDocument/2006/relationships/hyperlink" Target="https://diario6.com/pablo-casado-el-hombre-que-cobra-1-842-euros-en-dietas-por-ser-diputado-por-avila-pero-que-vive-y-vota-en-madrid/" TargetMode="External"/><Relationship Id="rId1351" Type="http://schemas.openxmlformats.org/officeDocument/2006/relationships/hyperlink" Target="https://www.youtube.com/channel/UC2OPRvShCwMeO__KHVyPl9w?sub_confirmation=1" TargetMode="External"/><Relationship Id="rId1449" Type="http://schemas.openxmlformats.org/officeDocument/2006/relationships/hyperlink" Target="https://www.elmundo.es/espana/2018/11/20/5bf4064222601d460c8b45ee.html" TargetMode="External"/><Relationship Id="rId1796" Type="http://schemas.openxmlformats.org/officeDocument/2006/relationships/hyperlink" Target="http://elllobu.wordpress.com/" TargetMode="External"/><Relationship Id="rId2402" Type="http://schemas.openxmlformats.org/officeDocument/2006/relationships/hyperlink" Target="http://bit.ly/zurekingasteiz" TargetMode="External"/><Relationship Id="rId2847" Type="http://schemas.openxmlformats.org/officeDocument/2006/relationships/hyperlink" Target="http://pic.twitter.com/mx7K9rvrf3" TargetMode="External"/><Relationship Id="rId88" Type="http://schemas.openxmlformats.org/officeDocument/2006/relationships/hyperlink" Target="https://www.eldiario.es/_31fba826" TargetMode="External"/><Relationship Id="rId819" Type="http://schemas.openxmlformats.org/officeDocument/2006/relationships/hyperlink" Target="http://www.sevilla24horas.com/" TargetMode="External"/><Relationship Id="rId1004" Type="http://schemas.openxmlformats.org/officeDocument/2006/relationships/hyperlink" Target="https://pbs.twimg.com/media/DsjmAs8XgAARjKh.jpg" TargetMode="External"/><Relationship Id="rId1211" Type="http://schemas.openxmlformats.org/officeDocument/2006/relationships/hyperlink" Target="https://diario6.com/pablo-casado-el-hombre-que-cobra-1-842-euros-en-dietas-por-ser-diputado-por-avila-pero-que-vive-y-vota-en-madrid/" TargetMode="External"/><Relationship Id="rId1656" Type="http://schemas.openxmlformats.org/officeDocument/2006/relationships/hyperlink" Target="http://diario16.com/denunciado-fiscal-pidio-archivo-del-caso-master-pablo-casado/" TargetMode="External"/><Relationship Id="rId1863" Type="http://schemas.openxmlformats.org/officeDocument/2006/relationships/hyperlink" Target="http://contracobardes.blogspot.com.es/?m=1" TargetMode="External"/><Relationship Id="rId2707" Type="http://schemas.openxmlformats.org/officeDocument/2006/relationships/hyperlink" Target="https://twitter.com/Xuxipc/status/1064085524279959552" TargetMode="External"/><Relationship Id="rId2914" Type="http://schemas.openxmlformats.org/officeDocument/2006/relationships/hyperlink" Target="http://lascosasdecandido.wordpress.com/" TargetMode="External"/><Relationship Id="rId1309" Type="http://schemas.openxmlformats.org/officeDocument/2006/relationships/hyperlink" Target="https://pbs.twimg.com/media/DseBLfmXoAcTj1A.jpg" TargetMode="External"/><Relationship Id="rId1516" Type="http://schemas.openxmlformats.org/officeDocument/2006/relationships/hyperlink" Target="http://www.infolibre.es/" TargetMode="External"/><Relationship Id="rId1723" Type="http://schemas.openxmlformats.org/officeDocument/2006/relationships/hyperlink" Target="https://www.eldiario.es/_30d5f463" TargetMode="External"/><Relationship Id="rId1930" Type="http://schemas.openxmlformats.org/officeDocument/2006/relationships/hyperlink" Target="https://www.huffingtonpost.es/2018/11/17/pablo-casado-los-espanoles-no-colonizabamos-lo-que-haciamos-era-tener-una-espana-mas-grande_a_23592393/" TargetMode="External"/><Relationship Id="rId15" Type="http://schemas.openxmlformats.org/officeDocument/2006/relationships/hyperlink" Target="https://www.facebook.com/jesus.fernandez.102977" TargetMode="External"/><Relationship Id="rId2192" Type="http://schemas.openxmlformats.org/officeDocument/2006/relationships/hyperlink" Target="http://www.guerraeterna.com/pablo-casado-contra-la-historia/" TargetMode="External"/><Relationship Id="rId164" Type="http://schemas.openxmlformats.org/officeDocument/2006/relationships/hyperlink" Target="http://www.eldiario.es/autores/juan_miguel_baquero/" TargetMode="External"/><Relationship Id="rId371" Type="http://schemas.openxmlformats.org/officeDocument/2006/relationships/hyperlink" Target="https://pbs.twimg.com/media/Dsqes2xU4AAG6Em.jpg" TargetMode="External"/><Relationship Id="rId2052" Type="http://schemas.openxmlformats.org/officeDocument/2006/relationships/hyperlink" Target="http://diario16.com/denunciado-fiscal-pidio-archivo-del-caso-master-pablo-casado/" TargetMode="External"/><Relationship Id="rId2497" Type="http://schemas.openxmlformats.org/officeDocument/2006/relationships/hyperlink" Target="http://marioregueira.gal/" TargetMode="External"/><Relationship Id="rId469" Type="http://schemas.openxmlformats.org/officeDocument/2006/relationships/hyperlink" Target="https://www.elnacional.cat/enblau/es/television/pepa-bueno-pablo-casado-tension_327399_102.html" TargetMode="External"/><Relationship Id="rId676" Type="http://schemas.openxmlformats.org/officeDocument/2006/relationships/hyperlink" Target="http://instagram.com/_chicadelacurva" TargetMode="External"/><Relationship Id="rId883" Type="http://schemas.openxmlformats.org/officeDocument/2006/relationships/hyperlink" Target="http://www.alcantarillasocial.com/author/xuxipc/" TargetMode="External"/><Relationship Id="rId1099" Type="http://schemas.openxmlformats.org/officeDocument/2006/relationships/hyperlink" Target="https://buff.ly/2R0vxBb" TargetMode="External"/><Relationship Id="rId2357" Type="http://schemas.openxmlformats.org/officeDocument/2006/relationships/hyperlink" Target="http://lesamisdelabc.com/" TargetMode="External"/><Relationship Id="rId2564" Type="http://schemas.openxmlformats.org/officeDocument/2006/relationships/hyperlink" Target="http://www.guerraeterna.com/pablo-casado-contra-la-historia/" TargetMode="External"/><Relationship Id="rId231" Type="http://schemas.openxmlformats.org/officeDocument/2006/relationships/hyperlink" Target="http://about.me/rodriguezsanso" TargetMode="External"/><Relationship Id="rId329" Type="http://schemas.openxmlformats.org/officeDocument/2006/relationships/hyperlink" Target="http://www.franciscocastro.gal/" TargetMode="External"/><Relationship Id="rId536" Type="http://schemas.openxmlformats.org/officeDocument/2006/relationships/hyperlink" Target="http://www.n332.es/" TargetMode="External"/><Relationship Id="rId1166" Type="http://schemas.openxmlformats.org/officeDocument/2006/relationships/hyperlink" Target="http://rkfm.es/vki5z" TargetMode="External"/><Relationship Id="rId1373" Type="http://schemas.openxmlformats.org/officeDocument/2006/relationships/hyperlink" Target="https://pbs.twimg.com/media/DseUM-7U0AAnzNE.jpg" TargetMode="External"/><Relationship Id="rId2217" Type="http://schemas.openxmlformats.org/officeDocument/2006/relationships/hyperlink" Target="http://diario16.com/denunciado-fiscal-pidio-archivo-del-caso-master-pablo-casado/" TargetMode="External"/><Relationship Id="rId2771" Type="http://schemas.openxmlformats.org/officeDocument/2006/relationships/hyperlink" Target="http://skakeo.blogspot.com/" TargetMode="External"/><Relationship Id="rId2869" Type="http://schemas.openxmlformats.org/officeDocument/2006/relationships/hyperlink" Target="http://laicismo.org/" TargetMode="External"/><Relationship Id="rId743" Type="http://schemas.openxmlformats.org/officeDocument/2006/relationships/hyperlink" Target="https://m.eldiario.es/politica/Pablo-Casado-exaltacion-franquismo-probidida_0_838516217.html" TargetMode="External"/><Relationship Id="rId950" Type="http://schemas.openxmlformats.org/officeDocument/2006/relationships/hyperlink" Target="http://maxjovengay.blogspot.com.es/" TargetMode="External"/><Relationship Id="rId1026" Type="http://schemas.openxmlformats.org/officeDocument/2006/relationships/hyperlink" Target="http://irethm.blogspot.com/" TargetMode="External"/><Relationship Id="rId1580" Type="http://schemas.openxmlformats.org/officeDocument/2006/relationships/hyperlink" Target="http://bit.ly/2A7mB5M" TargetMode="External"/><Relationship Id="rId1678" Type="http://schemas.openxmlformats.org/officeDocument/2006/relationships/hyperlink" Target="https://www.eldiario.es/_31eabae9" TargetMode="External"/><Relationship Id="rId1885" Type="http://schemas.openxmlformats.org/officeDocument/2006/relationships/hyperlink" Target="http://diario16.com/denunciado-fiscal-pidio-archivo-del-caso-master-pablo-casado/" TargetMode="External"/><Relationship Id="rId2424" Type="http://schemas.openxmlformats.org/officeDocument/2006/relationships/hyperlink" Target="http://nintenderos.com/" TargetMode="External"/><Relationship Id="rId2631" Type="http://schemas.openxmlformats.org/officeDocument/2006/relationships/hyperlink" Target="https://www.europapress.es/andalucia/cadiz-00351/noticia-pablo-casado-compromete-ayudar-proyecto-2020-ano-internacional-flamenco-llegue-buen-termino-20181118161650.html" TargetMode="External"/><Relationship Id="rId2729" Type="http://schemas.openxmlformats.org/officeDocument/2006/relationships/hyperlink" Target="https://pbs.twimg.com/media/DsSdGT2U0AELh9M.jpg" TargetMode="External"/><Relationship Id="rId2936" Type="http://schemas.openxmlformats.org/officeDocument/2006/relationships/hyperlink" Target="https://www.eldiario.es/politica/Casado-Historia-colonizabamos-haciamos-Espana_0_836766521.html" TargetMode="External"/><Relationship Id="rId603" Type="http://schemas.openxmlformats.org/officeDocument/2006/relationships/hyperlink" Target="https://twitter.com/el_tylerdurden" TargetMode="External"/><Relationship Id="rId810" Type="http://schemas.openxmlformats.org/officeDocument/2006/relationships/hyperlink" Target="https://m.eldiario.es/31fabdf9_838516217/" TargetMode="External"/><Relationship Id="rId908" Type="http://schemas.openxmlformats.org/officeDocument/2006/relationships/hyperlink" Target="http://www.hoyporhoy.es/" TargetMode="External"/><Relationship Id="rId1233" Type="http://schemas.openxmlformats.org/officeDocument/2006/relationships/hyperlink" Target="http://youtu.be/xmf4wi0A-l8?a" TargetMode="External"/><Relationship Id="rId1440" Type="http://schemas.openxmlformats.org/officeDocument/2006/relationships/hyperlink" Target="https://www.larazon.es/espana/casado-justifica-la-ruptura-del-pacto-sobre-el-cgpj-por-dignidad-y-respeto-AE20609494" TargetMode="External"/><Relationship Id="rId1538" Type="http://schemas.openxmlformats.org/officeDocument/2006/relationships/hyperlink" Target="http://dlvr.it/QrgvhC" TargetMode="External"/><Relationship Id="rId1300" Type="http://schemas.openxmlformats.org/officeDocument/2006/relationships/hyperlink" Target="http://www.etnosistema.com/" TargetMode="External"/><Relationship Id="rId1745" Type="http://schemas.openxmlformats.org/officeDocument/2006/relationships/hyperlink" Target="https://www.elmundo.es/opinion/2018/11/20/5bf2cafce5fdeacc128b4664.html" TargetMode="External"/><Relationship Id="rId1952" Type="http://schemas.openxmlformats.org/officeDocument/2006/relationships/hyperlink" Target="https://www.youtube.com/channel/UC1hWFGIVDCxG84qeRz-V2fw" TargetMode="External"/><Relationship Id="rId37" Type="http://schemas.openxmlformats.org/officeDocument/2006/relationships/hyperlink" Target="http://vibefamily.wordpress.com/" TargetMode="External"/><Relationship Id="rId1605" Type="http://schemas.openxmlformats.org/officeDocument/2006/relationships/hyperlink" Target="http://es.favstar.fm/users/elcaudillisimo" TargetMode="External"/><Relationship Id="rId1812" Type="http://schemas.openxmlformats.org/officeDocument/2006/relationships/hyperlink" Target="https://pbs.twimg.com/media/DsZXfloXcAASDv0.jpg" TargetMode="External"/><Relationship Id="rId186" Type="http://schemas.openxmlformats.org/officeDocument/2006/relationships/hyperlink" Target="https://www.eljueves.es/news/pablo-casado-intenta-comprar-remesa-esclavos-black-friday_2970?utm_source=facebook&amp;utm_medium=social&amp;utm_campaign=trafico" TargetMode="External"/><Relationship Id="rId393" Type="http://schemas.openxmlformats.org/officeDocument/2006/relationships/hyperlink" Target="http://magazine340.es/ficha/2984/pablo-casado-insiste-en-pactar-con-c-s-aunque-el-pp-no-sea-el-mas-votado" TargetMode="External"/><Relationship Id="rId2074" Type="http://schemas.openxmlformats.org/officeDocument/2006/relationships/hyperlink" Target="https://pbs.twimg.com/media/DsXaU9kWsAAapoV.jpg" TargetMode="External"/><Relationship Id="rId2281" Type="http://schemas.openxmlformats.org/officeDocument/2006/relationships/hyperlink" Target="http://felipe-benitez-reyes.blogspot.com.es/" TargetMode="External"/><Relationship Id="rId253" Type="http://schemas.openxmlformats.org/officeDocument/2006/relationships/hyperlink" Target="http://tallercitatxetxu.blogspot.com/" TargetMode="External"/><Relationship Id="rId460" Type="http://schemas.openxmlformats.org/officeDocument/2006/relationships/hyperlink" Target="https://pbs.twimg.com/media/Dso3di2V4AA6Lb4.jpg" TargetMode="External"/><Relationship Id="rId698" Type="http://schemas.openxmlformats.org/officeDocument/2006/relationships/hyperlink" Target="https://pbs.twimg.com/media/DsnEi6KWsAAvgk-.jpg" TargetMode="External"/><Relationship Id="rId1090" Type="http://schemas.openxmlformats.org/officeDocument/2006/relationships/hyperlink" Target="http://pic.twitter.com/2HtxUKaLM5" TargetMode="External"/><Relationship Id="rId2141" Type="http://schemas.openxmlformats.org/officeDocument/2006/relationships/hyperlink" Target="http://ow.ly/9wW330mFnZO" TargetMode="External"/><Relationship Id="rId2379" Type="http://schemas.openxmlformats.org/officeDocument/2006/relationships/hyperlink" Target="https://www.elmundo.es/andalucia/2018/11/18/5bf1600fe2704ed9718b45f0.html" TargetMode="External"/><Relationship Id="rId2586" Type="http://schemas.openxmlformats.org/officeDocument/2006/relationships/hyperlink" Target="https://pbs.twimg.com/media/DsTFkouWkAIrlWW.jpg" TargetMode="External"/><Relationship Id="rId2793" Type="http://schemas.openxmlformats.org/officeDocument/2006/relationships/hyperlink" Target="http://instragram.com/@qquiquee" TargetMode="External"/><Relationship Id="rId113" Type="http://schemas.openxmlformats.org/officeDocument/2006/relationships/hyperlink" Target="http://ow.ly/gsvK50jLYVu" TargetMode="External"/><Relationship Id="rId320" Type="http://schemas.openxmlformats.org/officeDocument/2006/relationships/hyperlink" Target="https://m.eldiario.es/_31fac11c" TargetMode="External"/><Relationship Id="rId558" Type="http://schemas.openxmlformats.org/officeDocument/2006/relationships/hyperlink" Target="https://www.elnacional.cat/enblau/es/television/pepa-bueno-pablo-casado-tension_327399_102.html" TargetMode="External"/><Relationship Id="rId765" Type="http://schemas.openxmlformats.org/officeDocument/2006/relationships/hyperlink" Target="https://pbs.twimg.com/media/Dsmr2hbXgAAg_bB.jpg" TargetMode="External"/><Relationship Id="rId972" Type="http://schemas.openxmlformats.org/officeDocument/2006/relationships/hyperlink" Target="https://www.libertaddigital.com/espana/2018-11-21/pedro-sanchez-pide-a-casado-y-rufian-que-pidan-discupas-por-el-escupitajo-de-erc-a-borell-1276628638/" TargetMode="External"/><Relationship Id="rId1188" Type="http://schemas.openxmlformats.org/officeDocument/2006/relationships/hyperlink" Target="https://www.elconfidencialdigital.com/" TargetMode="External"/><Relationship Id="rId1395" Type="http://schemas.openxmlformats.org/officeDocument/2006/relationships/hyperlink" Target="https://www.elmundo.es/espana/2018/11/20/5bf3eb5022601d317c8b45a2.html" TargetMode="External"/><Relationship Id="rId2001" Type="http://schemas.openxmlformats.org/officeDocument/2006/relationships/hyperlink" Target="https://www.eldiario.es/internacional/Steve-Bannon-Orban-Pablo-Casado_0_837116460.html" TargetMode="External"/><Relationship Id="rId2239" Type="http://schemas.openxmlformats.org/officeDocument/2006/relationships/hyperlink" Target="https://m.facebook.com/profile.php?id=586021274767533" TargetMode="External"/><Relationship Id="rId2446" Type="http://schemas.openxmlformats.org/officeDocument/2006/relationships/hyperlink" Target="http://www.crtvg.gal/tvg" TargetMode="External"/><Relationship Id="rId2653" Type="http://schemas.openxmlformats.org/officeDocument/2006/relationships/hyperlink" Target="http://dlvr.it/QrX4xR" TargetMode="External"/><Relationship Id="rId2860" Type="http://schemas.openxmlformats.org/officeDocument/2006/relationships/hyperlink" Target="http://serraniadepalabras.blogspot.com/" TargetMode="External"/><Relationship Id="rId418" Type="http://schemas.openxmlformats.org/officeDocument/2006/relationships/hyperlink" Target="https://pbs.twimg.com/media/DsoteRRV4AAO1jd.jpg" TargetMode="External"/><Relationship Id="rId625" Type="http://schemas.openxmlformats.org/officeDocument/2006/relationships/hyperlink" Target="http://www.jorgedioni.com/" TargetMode="External"/><Relationship Id="rId832" Type="http://schemas.openxmlformats.org/officeDocument/2006/relationships/hyperlink" Target="https://pbs.twimg.com/media/DsmcaihV4AEri9x.jpg" TargetMode="External"/><Relationship Id="rId1048" Type="http://schemas.openxmlformats.org/officeDocument/2006/relationships/hyperlink" Target="https://twitter.com/p_marcote/status/1065270351335223298" TargetMode="External"/><Relationship Id="rId1255" Type="http://schemas.openxmlformats.org/officeDocument/2006/relationships/hyperlink" Target="https://www.elnacional.cat/ca/politica/pedro-sanchez-pablo-casado-poder-judicial_326823_102.html" TargetMode="External"/><Relationship Id="rId1462" Type="http://schemas.openxmlformats.org/officeDocument/2006/relationships/hyperlink" Target="http://okdiario.com/" TargetMode="External"/><Relationship Id="rId2306" Type="http://schemas.openxmlformats.org/officeDocument/2006/relationships/hyperlink" Target="https://pbs.twimg.com/media/DsWJPERWsAE1cCk.jpg" TargetMode="External"/><Relationship Id="rId2513" Type="http://schemas.openxmlformats.org/officeDocument/2006/relationships/hyperlink" Target="https://pbs.twimg.com/media/DsTc-vzWoAADscj.jpg" TargetMode="External"/><Relationship Id="rId2958"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1115" Type="http://schemas.openxmlformats.org/officeDocument/2006/relationships/hyperlink" Target="http://www.cambio16.com/" TargetMode="External"/><Relationship Id="rId1322" Type="http://schemas.openxmlformats.org/officeDocument/2006/relationships/hyperlink" Target="https://pbs.twimg.com/media/Dse8eM2W0AIeR1j.jpg" TargetMode="External"/><Relationship Id="rId1767" Type="http://schemas.openxmlformats.org/officeDocument/2006/relationships/hyperlink" Target="https://www.eldiario.es/politica/Casado-Andalucia-candidato-Juanma-Moreno_0_837116686.html" TargetMode="External"/><Relationship Id="rId1974" Type="http://schemas.openxmlformats.org/officeDocument/2006/relationships/hyperlink" Target="http://calaixinformatiu.wordpress.com/" TargetMode="External"/><Relationship Id="rId2720" Type="http://schemas.openxmlformats.org/officeDocument/2006/relationships/hyperlink" Target="https://www.elmundo.es/andalucia/2018/11/18/5bf1600fe2704ed9718b45f0.html" TargetMode="External"/><Relationship Id="rId2818" Type="http://schemas.openxmlformats.org/officeDocument/2006/relationships/hyperlink" Target="https://disidentia.com/consejo-general-del-poder-judicial-rectificar-es-de-sabios/" TargetMode="External"/><Relationship Id="rId59" Type="http://schemas.openxmlformats.org/officeDocument/2006/relationships/hyperlink" Target="https://www.eldiario.es/_31fba826" TargetMode="External"/><Relationship Id="rId1627" Type="http://schemas.openxmlformats.org/officeDocument/2006/relationships/hyperlink" Target="https://www.lavanguardia.com/politica/20181120/453065521575/cosido-no-dimitir-ningun-momento-culpa-gobierno-manuel-marchena-acuerdo-roto-cgpj-poder-judicial.html?utm_source=twitter_lv&amp;utm_medium=social" TargetMode="External"/><Relationship Id="rId1834" Type="http://schemas.openxmlformats.org/officeDocument/2006/relationships/hyperlink" Target="https://www.huffingtonpost.es/2018/11/17/pablo-casado-los-espanoles-no-colonizabamos-lo-que-haciamos-era-tener-una-espana-mas-grande_a_23592393/?ncid=other_twitter_cooo9wqtham&amp;utm_campaign=share_twitter" TargetMode="External"/><Relationship Id="rId2096" Type="http://schemas.openxmlformats.org/officeDocument/2006/relationships/hyperlink" Target="http://johermol-mediterraneo.blogspot.com/" TargetMode="External"/><Relationship Id="rId1901" Type="http://schemas.openxmlformats.org/officeDocument/2006/relationships/hyperlink" Target="https://youtu.be/u37RF5xKNq8" TargetMode="External"/><Relationship Id="rId275" Type="http://schemas.openxmlformats.org/officeDocument/2006/relationships/hyperlink" Target="http://bit.ly/2PLOVFq" TargetMode="External"/><Relationship Id="rId482" Type="http://schemas.openxmlformats.org/officeDocument/2006/relationships/hyperlink" Target="http://www.marianom.es/" TargetMode="External"/><Relationship Id="rId2163" Type="http://schemas.openxmlformats.org/officeDocument/2006/relationships/hyperlink" Target="https://www.eljueves.es/news/pablo-casado-propone-invadir-polonia-para-hacer-espana-mas-grande_2959?utm_source=twitter&amp;utm_medium=social&amp;utm_campaign=trafico" TargetMode="External"/><Relationship Id="rId2370" Type="http://schemas.openxmlformats.org/officeDocument/2006/relationships/hyperlink" Target="http://ramonesmiranda.wordpress.com/" TargetMode="External"/><Relationship Id="rId135" Type="http://schemas.openxmlformats.org/officeDocument/2006/relationships/hyperlink" Target="https://www.eldiario.es/_31fba826" TargetMode="External"/><Relationship Id="rId342" Type="http://schemas.openxmlformats.org/officeDocument/2006/relationships/hyperlink" Target="https://m.eldiario.es/_31fac11c" TargetMode="External"/><Relationship Id="rId787" Type="http://schemas.openxmlformats.org/officeDocument/2006/relationships/hyperlink" Target="https://elpais.com/ccaa/2018/11/20/galicia/1542732671_186130.html" TargetMode="External"/><Relationship Id="rId994" Type="http://schemas.openxmlformats.org/officeDocument/2006/relationships/hyperlink" Target="https://www.libertaddigital.com/espana/2018-11-21/pedro-sanchez-pide-a-casado-y-rufian-que-pidan-discupas-por-el-escupitajo-de-erc-a-borell-1276628638/" TargetMode="External"/><Relationship Id="rId2023" Type="http://schemas.openxmlformats.org/officeDocument/2006/relationships/hyperlink" Target="https://pbs.twimg.com/media/DsX5C6jWwAEDzBg.jpg" TargetMode="External"/><Relationship Id="rId2230" Type="http://schemas.openxmlformats.org/officeDocument/2006/relationships/hyperlink" Target="https://www.instagram.com/arezno/" TargetMode="External"/><Relationship Id="rId2468" Type="http://schemas.openxmlformats.org/officeDocument/2006/relationships/hyperlink" Target="https://www.elmira.es/18/11/2018/casado-pide-votar-a-juanma-moreno-para-acabar-con-40-anos-de-psoe-en-andalucia/?utm_medium=Social&amp;utm_source=Twitter" TargetMode="External"/><Relationship Id="rId2675" Type="http://schemas.openxmlformats.org/officeDocument/2006/relationships/hyperlink" Target="http://www.guerraeterna.com/pablo-casado-contra-la-historia/" TargetMode="External"/><Relationship Id="rId2882" Type="http://schemas.openxmlformats.org/officeDocument/2006/relationships/hyperlink" Target="https://www.vozpopuli.com/_47092341" TargetMode="External"/><Relationship Id="rId202" Type="http://schemas.openxmlformats.org/officeDocument/2006/relationships/hyperlink" Target="https://buff.ly/2S9YGtX" TargetMode="External"/><Relationship Id="rId647" Type="http://schemas.openxmlformats.org/officeDocument/2006/relationships/hyperlink" Target="https://www.elnacional.cat/enblau/es/television/pepa-bueno-pablo-casado-tension_327399_102.html" TargetMode="External"/><Relationship Id="rId854" Type="http://schemas.openxmlformats.org/officeDocument/2006/relationships/hyperlink" Target="https://www.elnacional.cat/es/politica/pablo-casado-ilegalitzacion-cup-arran_327270_102.html" TargetMode="External"/><Relationship Id="rId1277" Type="http://schemas.openxmlformats.org/officeDocument/2006/relationships/hyperlink" Target="http://rosamariaartal.wordpress.com/" TargetMode="External"/><Relationship Id="rId1484" Type="http://schemas.openxmlformats.org/officeDocument/2006/relationships/hyperlink" Target="https://diario6.com/pablo-casado-al-igual-que-cospedal-tambien-se-reunio-con-villarejo/" TargetMode="External"/><Relationship Id="rId1691" Type="http://schemas.openxmlformats.org/officeDocument/2006/relationships/hyperlink" Target="http://ralate.blogspot.com/" TargetMode="External"/><Relationship Id="rId2328" Type="http://schemas.openxmlformats.org/officeDocument/2006/relationships/hyperlink" Target="https://elpais.com/politica/2018/11/15/actualidad/1542317293_554657.html" TargetMode="External"/><Relationship Id="rId2535" Type="http://schemas.openxmlformats.org/officeDocument/2006/relationships/hyperlink" Target="https://www.facebook.com/josegabrielz/posts/1909751705727831" TargetMode="External"/><Relationship Id="rId2742" Type="http://schemas.openxmlformats.org/officeDocument/2006/relationships/hyperlink" Target="http://dlvr.it/QrWrK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2495"/>
  <sheetViews>
    <sheetView tabSelected="1" workbookViewId="0">
      <pane ySplit="2" topLeftCell="A3" activePane="bottomLeft" state="frozen"/>
      <selection pane="bottomLeft" activeCell="D2" sqref="D1:D1048576"/>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31" t="s">
        <v>1</v>
      </c>
      <c r="B1" s="32"/>
      <c r="C1" s="32"/>
      <c r="D1" s="32"/>
      <c r="E1" s="32"/>
      <c r="F1" s="32"/>
      <c r="G1" s="32"/>
      <c r="H1" s="32"/>
      <c r="I1" s="32"/>
      <c r="J1" s="32"/>
      <c r="K1" s="32"/>
      <c r="L1" s="33" t="s">
        <v>2</v>
      </c>
      <c r="M1" s="32"/>
      <c r="N1" s="32"/>
      <c r="O1" s="32"/>
      <c r="P1" s="32"/>
      <c r="Q1" s="32"/>
      <c r="R1" s="32"/>
      <c r="S1" s="32"/>
      <c r="T1" s="32"/>
      <c r="U1" s="32"/>
    </row>
    <row r="2" spans="1:21" ht="29.25" customHeight="1">
      <c r="A2" s="1" t="s">
        <v>0</v>
      </c>
      <c r="B2" s="2" t="s">
        <v>3</v>
      </c>
      <c r="C2" s="2" t="s">
        <v>4</v>
      </c>
      <c r="D2" s="3" t="s">
        <v>5</v>
      </c>
      <c r="E2" s="4" t="s">
        <v>6</v>
      </c>
      <c r="F2" s="4" t="s">
        <v>7</v>
      </c>
      <c r="G2" s="4" t="s">
        <v>8</v>
      </c>
      <c r="H2" s="4" t="s">
        <v>9</v>
      </c>
      <c r="I2" s="2" t="s">
        <v>10</v>
      </c>
      <c r="J2" s="2" t="s">
        <v>11</v>
      </c>
      <c r="K2" s="4" t="s">
        <v>12</v>
      </c>
      <c r="L2" s="2" t="s">
        <v>13</v>
      </c>
      <c r="M2" s="2" t="s">
        <v>14</v>
      </c>
      <c r="N2" s="4" t="s">
        <v>15</v>
      </c>
      <c r="O2" s="4" t="s">
        <v>16</v>
      </c>
      <c r="P2" s="4" t="s">
        <v>17</v>
      </c>
      <c r="Q2" s="4" t="s">
        <v>9</v>
      </c>
      <c r="R2" s="5" t="s">
        <v>18</v>
      </c>
      <c r="S2" s="4" t="s">
        <v>19</v>
      </c>
      <c r="T2" s="4" t="s">
        <v>20</v>
      </c>
      <c r="U2" s="4" t="s">
        <v>21</v>
      </c>
    </row>
    <row r="3" spans="1:21" ht="30.6">
      <c r="A3" s="6">
        <v>43427.285196759258</v>
      </c>
      <c r="B3" s="7" t="str">
        <f>HYPERLINK("https://twitter.com/fromeropaco","@fromeropaco")</f>
        <v>@fromeropaco</v>
      </c>
      <c r="C3" s="8" t="s">
        <v>22</v>
      </c>
      <c r="D3" s="9" t="s">
        <v>23</v>
      </c>
      <c r="E3" s="10" t="str">
        <f>HYPERLINK("https://twitter.com/fromeropaco/status/1065980964638121984","1065980964638121984")</f>
        <v>1065980964638121984</v>
      </c>
      <c r="F3" s="11" t="s">
        <v>24</v>
      </c>
      <c r="G3" s="11" t="s">
        <v>25</v>
      </c>
      <c r="H3" s="12"/>
      <c r="I3" s="13">
        <v>0</v>
      </c>
      <c r="J3" s="13">
        <v>0</v>
      </c>
      <c r="K3" s="14" t="str">
        <f>HYPERLINK("https://dlvrit.com/","dlvr.it")</f>
        <v>dlvr.it</v>
      </c>
      <c r="L3" s="13">
        <v>123</v>
      </c>
      <c r="M3" s="13">
        <v>372</v>
      </c>
      <c r="N3" s="13">
        <v>2</v>
      </c>
      <c r="O3" s="15"/>
      <c r="P3" s="6">
        <v>42989.278564814813</v>
      </c>
      <c r="Q3" s="17" t="s">
        <v>26</v>
      </c>
      <c r="R3" s="16" t="s">
        <v>28</v>
      </c>
      <c r="S3" s="12"/>
      <c r="T3" s="12"/>
      <c r="U3" s="10" t="str">
        <f>HYPERLINK("https://pbs.twimg.com/profile_images/931073900460564481/cvuLO-iT.jpg","View")</f>
        <v>View</v>
      </c>
    </row>
    <row r="4" spans="1:21" ht="30.6">
      <c r="A4" s="6">
        <v>43427.282650462963</v>
      </c>
      <c r="B4" s="7" t="str">
        <f>HYPERLINK("https://twitter.com/MarisaVargas_R","@MarisaVargas_R")</f>
        <v>@MarisaVargas_R</v>
      </c>
      <c r="C4" s="8" t="s">
        <v>31</v>
      </c>
      <c r="D4" s="9" t="s">
        <v>32</v>
      </c>
      <c r="E4" s="10" t="str">
        <f>HYPERLINK("https://twitter.com/MarisaVargas_R/status/1065980039517347841","1065980039517347841")</f>
        <v>1065980039517347841</v>
      </c>
      <c r="F4" s="11" t="s">
        <v>33</v>
      </c>
      <c r="G4" s="12"/>
      <c r="H4" s="12"/>
      <c r="I4" s="13">
        <v>1</v>
      </c>
      <c r="J4" s="13">
        <v>1</v>
      </c>
      <c r="K4" s="14" t="str">
        <f>HYPERLINK("http://twitter.com/download/android","Twitter for Android")</f>
        <v>Twitter for Android</v>
      </c>
      <c r="L4" s="13">
        <v>9386</v>
      </c>
      <c r="M4" s="13">
        <v>9193</v>
      </c>
      <c r="N4" s="13">
        <v>159</v>
      </c>
      <c r="O4" s="15"/>
      <c r="P4" s="6">
        <v>40624.469293981485</v>
      </c>
      <c r="Q4" s="17" t="s">
        <v>35</v>
      </c>
      <c r="R4" s="16" t="s">
        <v>36</v>
      </c>
      <c r="S4" s="12"/>
      <c r="T4" s="12"/>
      <c r="U4" s="10" t="str">
        <f>HYPERLINK("https://pbs.twimg.com/profile_images/789471807682256896/cuEOEHIr.jpg","View")</f>
        <v>View</v>
      </c>
    </row>
    <row r="5" spans="1:21" ht="20.399999999999999">
      <c r="A5" s="6">
        <v>43427.281747685185</v>
      </c>
      <c r="B5" s="7" t="str">
        <f>HYPERLINK("https://twitter.com/pimpollo64","@pimpollo64")</f>
        <v>@pimpollo64</v>
      </c>
      <c r="C5" s="8" t="s">
        <v>39</v>
      </c>
      <c r="D5" s="9" t="s">
        <v>41</v>
      </c>
      <c r="E5" s="10" t="str">
        <f>HYPERLINK("https://twitter.com/pimpollo64/status/1065979715272491009","1065979715272491009")</f>
        <v>1065979715272491009</v>
      </c>
      <c r="F5" s="11" t="s">
        <v>42</v>
      </c>
      <c r="G5" s="12"/>
      <c r="H5" s="12"/>
      <c r="I5" s="13">
        <v>0</v>
      </c>
      <c r="J5" s="13">
        <v>0</v>
      </c>
      <c r="K5" s="14" t="str">
        <f>HYPERLINK("http://www.facebook.com/twitter","Facebook")</f>
        <v>Facebook</v>
      </c>
      <c r="L5" s="13">
        <v>255</v>
      </c>
      <c r="M5" s="13">
        <v>1150</v>
      </c>
      <c r="N5" s="13">
        <v>0</v>
      </c>
      <c r="O5" s="15"/>
      <c r="P5" s="6">
        <v>41051.561620370368</v>
      </c>
      <c r="Q5" s="12"/>
      <c r="R5" s="16" t="s">
        <v>43</v>
      </c>
      <c r="S5" s="12"/>
      <c r="T5" s="12"/>
      <c r="U5" s="10" t="str">
        <f>HYPERLINK("https://pbs.twimg.com/profile_images/535166849919774720/mNisO1bQ.jpeg","View")</f>
        <v>View</v>
      </c>
    </row>
    <row r="6" spans="1:21" ht="30.6">
      <c r="A6" s="6">
        <v>43427.280810185184</v>
      </c>
      <c r="B6" s="7" t="str">
        <f>HYPERLINK("https://twitter.com/tombotu","@tombotu")</f>
        <v>@tombotu</v>
      </c>
      <c r="C6" s="8" t="s">
        <v>44</v>
      </c>
      <c r="D6" s="9" t="s">
        <v>45</v>
      </c>
      <c r="E6" s="10" t="str">
        <f>HYPERLINK("https://twitter.com/tombotu/status/1065979374594342913","1065979374594342913")</f>
        <v>1065979374594342913</v>
      </c>
      <c r="F6" s="11" t="s">
        <v>47</v>
      </c>
      <c r="G6" s="12"/>
      <c r="H6" s="12"/>
      <c r="I6" s="13">
        <v>0</v>
      </c>
      <c r="J6" s="13">
        <v>0</v>
      </c>
      <c r="K6" s="14" t="str">
        <f>HYPERLINK("http://twitter.com/download/android","Twitter for Android")</f>
        <v>Twitter for Android</v>
      </c>
      <c r="L6" s="13">
        <v>246</v>
      </c>
      <c r="M6" s="13">
        <v>1432</v>
      </c>
      <c r="N6" s="13">
        <v>4</v>
      </c>
      <c r="O6" s="15"/>
      <c r="P6" s="6">
        <v>40685.183252314819</v>
      </c>
      <c r="Q6" s="12"/>
      <c r="R6" s="16" t="s">
        <v>48</v>
      </c>
      <c r="S6" s="12"/>
      <c r="T6" s="12"/>
      <c r="U6" s="10" t="str">
        <f>HYPERLINK("https://pbs.twimg.com/profile_images/972356984107356160/T6ENcQ48.jpg","View")</f>
        <v>View</v>
      </c>
    </row>
    <row r="7" spans="1:21" ht="13.2">
      <c r="A7" s="6">
        <v>43427.27853009259</v>
      </c>
      <c r="B7" s="7" t="str">
        <f>HYPERLINK("https://twitter.com/pableninn","@pableninn")</f>
        <v>@pableninn</v>
      </c>
      <c r="C7" s="8" t="s">
        <v>50</v>
      </c>
      <c r="D7" s="9" t="s">
        <v>23</v>
      </c>
      <c r="E7" s="10" t="str">
        <f>HYPERLINK("https://twitter.com/pableninn/status/1065978549000056832","1065978549000056832")</f>
        <v>1065978549000056832</v>
      </c>
      <c r="F7" s="11" t="s">
        <v>51</v>
      </c>
      <c r="G7" s="11" t="s">
        <v>52</v>
      </c>
      <c r="H7" s="12"/>
      <c r="I7" s="13">
        <v>0</v>
      </c>
      <c r="J7" s="13">
        <v>0</v>
      </c>
      <c r="K7" s="14" t="str">
        <f>HYPERLINK("https://dlvrit.com/","dlvr.it")</f>
        <v>dlvr.it</v>
      </c>
      <c r="L7" s="13">
        <v>413</v>
      </c>
      <c r="M7" s="13">
        <v>2788</v>
      </c>
      <c r="N7" s="13">
        <v>4</v>
      </c>
      <c r="O7" s="15"/>
      <c r="P7" s="6">
        <v>42821.184016203704</v>
      </c>
      <c r="Q7" s="12"/>
      <c r="R7" s="18"/>
      <c r="S7" s="12"/>
      <c r="T7" s="12"/>
      <c r="U7" s="10" t="str">
        <f>HYPERLINK("https://pbs.twimg.com/profile_images/846327765121011714/fTE1mBtG.jpg","View")</f>
        <v>View</v>
      </c>
    </row>
    <row r="8" spans="1:21" ht="30.6">
      <c r="A8" s="6">
        <v>43427.276423611111</v>
      </c>
      <c r="B8" s="7" t="str">
        <f>HYPERLINK("https://twitter.com/BlaancaNiieves","@BlaancaNiieves")</f>
        <v>@BlaancaNiieves</v>
      </c>
      <c r="C8" s="8" t="s">
        <v>49</v>
      </c>
      <c r="D8" s="9" t="s">
        <v>54</v>
      </c>
      <c r="E8" s="10" t="str">
        <f>HYPERLINK("https://twitter.com/BlaancaNiieves/status/1065977785552957440","1065977785552957440")</f>
        <v>1065977785552957440</v>
      </c>
      <c r="F8" s="11" t="s">
        <v>55</v>
      </c>
      <c r="G8" s="12"/>
      <c r="H8" s="12"/>
      <c r="I8" s="13">
        <v>2</v>
      </c>
      <c r="J8" s="13">
        <v>1</v>
      </c>
      <c r="K8" s="14" t="str">
        <f>HYPERLINK("http://twitter.com","Twitter Web Client")</f>
        <v>Twitter Web Client</v>
      </c>
      <c r="L8" s="13">
        <v>12765</v>
      </c>
      <c r="M8" s="13">
        <v>7062</v>
      </c>
      <c r="N8" s="13">
        <v>180</v>
      </c>
      <c r="O8" s="15"/>
      <c r="P8" s="6">
        <v>40831.098078703704</v>
      </c>
      <c r="Q8" s="17" t="s">
        <v>29</v>
      </c>
      <c r="R8" s="16" t="s">
        <v>53</v>
      </c>
      <c r="S8" s="12"/>
      <c r="T8" s="12"/>
      <c r="U8" s="10" t="str">
        <f>HYPERLINK("https://pbs.twimg.com/profile_images/2470680169/wsbnexryuc29zw10olvt.jpeg","View")</f>
        <v>View</v>
      </c>
    </row>
    <row r="9" spans="1:21" ht="20.399999999999999">
      <c r="A9" s="6">
        <v>43427.274375000001</v>
      </c>
      <c r="B9" s="7" t="str">
        <f t="shared" ref="B9:B10" si="0">HYPERLINK("https://twitter.com/rokoten","@rokoten")</f>
        <v>@rokoten</v>
      </c>
      <c r="C9" s="8" t="s">
        <v>56</v>
      </c>
      <c r="D9" s="9" t="s">
        <v>32</v>
      </c>
      <c r="E9" s="10" t="str">
        <f>HYPERLINK("https://twitter.com/rokoten/status/1065977041361793024","1065977041361793024")</f>
        <v>1065977041361793024</v>
      </c>
      <c r="F9" s="11" t="s">
        <v>57</v>
      </c>
      <c r="G9" s="12"/>
      <c r="H9" s="12"/>
      <c r="I9" s="13">
        <v>0</v>
      </c>
      <c r="J9" s="13">
        <v>0</v>
      </c>
      <c r="K9" s="14" t="str">
        <f t="shared" ref="K9:K10" si="1">HYPERLINK("http://twitter.com/download/android","Twitter for Android")</f>
        <v>Twitter for Android</v>
      </c>
      <c r="L9" s="13">
        <v>20862</v>
      </c>
      <c r="M9" s="13">
        <v>21122</v>
      </c>
      <c r="N9" s="13">
        <v>33</v>
      </c>
      <c r="O9" s="15"/>
      <c r="P9" s="6">
        <v>40803.061655092592</v>
      </c>
      <c r="Q9" s="12"/>
      <c r="R9" s="16" t="s">
        <v>58</v>
      </c>
      <c r="S9" s="12"/>
      <c r="T9" s="12"/>
      <c r="U9" s="10" t="str">
        <f t="shared" ref="U9:U10" si="2">HYPERLINK("https://pbs.twimg.com/profile_images/595104891590279168/-_3anmkq.jpg","View")</f>
        <v>View</v>
      </c>
    </row>
    <row r="10" spans="1:21" ht="20.399999999999999">
      <c r="A10" s="6">
        <v>43427.273287037038</v>
      </c>
      <c r="B10" s="7" t="str">
        <f t="shared" si="0"/>
        <v>@rokoten</v>
      </c>
      <c r="C10" s="8" t="s">
        <v>56</v>
      </c>
      <c r="D10" s="9" t="s">
        <v>32</v>
      </c>
      <c r="E10" s="10" t="str">
        <f>HYPERLINK("https://twitter.com/rokoten/status/1065976649760604160","1065976649760604160")</f>
        <v>1065976649760604160</v>
      </c>
      <c r="F10" s="11" t="s">
        <v>61</v>
      </c>
      <c r="G10" s="12"/>
      <c r="H10" s="12"/>
      <c r="I10" s="13">
        <v>0</v>
      </c>
      <c r="J10" s="13">
        <v>0</v>
      </c>
      <c r="K10" s="14" t="str">
        <f t="shared" si="1"/>
        <v>Twitter for Android</v>
      </c>
      <c r="L10" s="13">
        <v>20862</v>
      </c>
      <c r="M10" s="13">
        <v>21122</v>
      </c>
      <c r="N10" s="13">
        <v>33</v>
      </c>
      <c r="O10" s="15"/>
      <c r="P10" s="6">
        <v>40803.061655092592</v>
      </c>
      <c r="Q10" s="12"/>
      <c r="R10" s="16" t="s">
        <v>58</v>
      </c>
      <c r="S10" s="12"/>
      <c r="T10" s="12"/>
      <c r="U10" s="10" t="str">
        <f t="shared" si="2"/>
        <v>View</v>
      </c>
    </row>
    <row r="11" spans="1:21" ht="51">
      <c r="A11" s="6">
        <v>43427.271736111114</v>
      </c>
      <c r="B11" s="7" t="str">
        <f>HYPERLINK("https://twitter.com/noticiasgibral1","@noticiasgibral1")</f>
        <v>@noticiasgibral1</v>
      </c>
      <c r="C11" s="8" t="s">
        <v>65</v>
      </c>
      <c r="D11" s="9" t="s">
        <v>66</v>
      </c>
      <c r="E11" s="10" t="str">
        <f>HYPERLINK("https://twitter.com/noticiasgibral1/status/1065976088218796033","1065976088218796033")</f>
        <v>1065976088218796033</v>
      </c>
      <c r="F11" s="11" t="s">
        <v>67</v>
      </c>
      <c r="G11" s="11" t="s">
        <v>68</v>
      </c>
      <c r="H11" s="12"/>
      <c r="I11" s="13">
        <v>0</v>
      </c>
      <c r="J11" s="13">
        <v>0</v>
      </c>
      <c r="K11" s="14" t="str">
        <f>HYPERLINK("http://twitter.com","Twitter Web Client")</f>
        <v>Twitter Web Client</v>
      </c>
      <c r="L11" s="13">
        <v>113</v>
      </c>
      <c r="M11" s="13">
        <v>124</v>
      </c>
      <c r="N11" s="13">
        <v>3</v>
      </c>
      <c r="O11" s="15"/>
      <c r="P11" s="6">
        <v>42402.413171296299</v>
      </c>
      <c r="Q11" s="12"/>
      <c r="R11" s="18"/>
      <c r="S11" s="11" t="s">
        <v>70</v>
      </c>
      <c r="T11" s="12"/>
      <c r="U11" s="10" t="str">
        <f>HYPERLINK("https://pbs.twimg.com/profile_images/840650616334614529/L434K6iW.jpg","View")</f>
        <v>View</v>
      </c>
    </row>
    <row r="12" spans="1:21" ht="20.399999999999999">
      <c r="A12" s="6">
        <v>43427.270532407405</v>
      </c>
      <c r="B12" s="7" t="str">
        <f>HYPERLINK("https://twitter.com/oskarferreiro","@oskarferreiro")</f>
        <v>@oskarferreiro</v>
      </c>
      <c r="C12" s="8" t="s">
        <v>72</v>
      </c>
      <c r="D12" s="9" t="s">
        <v>73</v>
      </c>
      <c r="E12" s="10" t="str">
        <f>HYPERLINK("https://twitter.com/oskarferreiro/status/1065975648999612416","1065975648999612416")</f>
        <v>1065975648999612416</v>
      </c>
      <c r="F12" s="12"/>
      <c r="G12" s="12"/>
      <c r="H12" s="12"/>
      <c r="I12" s="13">
        <v>0</v>
      </c>
      <c r="J12" s="13">
        <v>0</v>
      </c>
      <c r="K12" s="14" t="str">
        <f>HYPERLINK("http://twitter.com/download/android","Twitter for Android")</f>
        <v>Twitter for Android</v>
      </c>
      <c r="L12" s="13">
        <v>193</v>
      </c>
      <c r="M12" s="13">
        <v>233</v>
      </c>
      <c r="N12" s="13">
        <v>3</v>
      </c>
      <c r="O12" s="15"/>
      <c r="P12" s="6">
        <v>40044.450555555552</v>
      </c>
      <c r="Q12" s="17" t="s">
        <v>75</v>
      </c>
      <c r="R12" s="18"/>
      <c r="S12" s="12"/>
      <c r="T12" s="12"/>
      <c r="U12" s="10" t="str">
        <f>HYPERLINK("https://pbs.twimg.com/profile_images/1025327469711319040/DVkA89Ci.jpg","View")</f>
        <v>View</v>
      </c>
    </row>
    <row r="13" spans="1:21" ht="20.399999999999999">
      <c r="A13" s="6">
        <v>43427.267534722225</v>
      </c>
      <c r="B13" s="7" t="str">
        <f t="shared" ref="B13:B14" si="3">HYPERLINK("https://twitter.com/fernanjofer","@fernanjofer")</f>
        <v>@fernanjofer</v>
      </c>
      <c r="C13" s="8" t="s">
        <v>80</v>
      </c>
      <c r="D13" s="9" t="s">
        <v>41</v>
      </c>
      <c r="E13" s="10" t="str">
        <f>HYPERLINK("https://twitter.com/fernanjofer/status/1065974563585105921","1065974563585105921")</f>
        <v>1065974563585105921</v>
      </c>
      <c r="F13" s="11" t="s">
        <v>42</v>
      </c>
      <c r="G13" s="12"/>
      <c r="H13" s="12"/>
      <c r="I13" s="13">
        <v>0</v>
      </c>
      <c r="J13" s="13">
        <v>0</v>
      </c>
      <c r="K13" s="14" t="str">
        <f>HYPERLINK("http://www.facebook.com/twitter","Facebook")</f>
        <v>Facebook</v>
      </c>
      <c r="L13" s="13">
        <v>1189</v>
      </c>
      <c r="M13" s="13">
        <v>2198</v>
      </c>
      <c r="N13" s="13">
        <v>8</v>
      </c>
      <c r="O13" s="15"/>
      <c r="P13" s="6">
        <v>40250.194872685184</v>
      </c>
      <c r="Q13" s="17" t="s">
        <v>81</v>
      </c>
      <c r="R13" s="16" t="s">
        <v>82</v>
      </c>
      <c r="S13" s="11" t="s">
        <v>83</v>
      </c>
      <c r="T13" s="12"/>
      <c r="U13" s="10" t="str">
        <f t="shared" ref="U13:U14" si="4">HYPERLINK("https://pbs.twimg.com/profile_images/960232402940461056/XoIIk0xn.jpg","View")</f>
        <v>View</v>
      </c>
    </row>
    <row r="14" spans="1:21" ht="30.6">
      <c r="A14" s="6">
        <v>43427.267465277779</v>
      </c>
      <c r="B14" s="7" t="str">
        <f t="shared" si="3"/>
        <v>@fernanjofer</v>
      </c>
      <c r="C14" s="8" t="s">
        <v>80</v>
      </c>
      <c r="D14" s="9" t="s">
        <v>45</v>
      </c>
      <c r="E14" s="10" t="str">
        <f>HYPERLINK("https://twitter.com/fernanjofer/status/1065974538595381248","1065974538595381248")</f>
        <v>1065974538595381248</v>
      </c>
      <c r="F14" s="11" t="s">
        <v>84</v>
      </c>
      <c r="G14" s="12"/>
      <c r="H14" s="12"/>
      <c r="I14" s="13">
        <v>0</v>
      </c>
      <c r="J14" s="13">
        <v>0</v>
      </c>
      <c r="K14" s="14" t="str">
        <f>HYPERLINK("http://twitter.com","Twitter Web Client")</f>
        <v>Twitter Web Client</v>
      </c>
      <c r="L14" s="13">
        <v>1189</v>
      </c>
      <c r="M14" s="13">
        <v>2198</v>
      </c>
      <c r="N14" s="13">
        <v>8</v>
      </c>
      <c r="O14" s="15"/>
      <c r="P14" s="6">
        <v>40250.194872685184</v>
      </c>
      <c r="Q14" s="17" t="s">
        <v>81</v>
      </c>
      <c r="R14" s="16" t="s">
        <v>82</v>
      </c>
      <c r="S14" s="11" t="s">
        <v>83</v>
      </c>
      <c r="T14" s="12"/>
      <c r="U14" s="10" t="str">
        <f t="shared" si="4"/>
        <v>View</v>
      </c>
    </row>
    <row r="15" spans="1:21" ht="51">
      <c r="A15" s="6">
        <v>43427.264340277776</v>
      </c>
      <c r="B15" s="7" t="str">
        <f>HYPERLINK("https://twitter.com/jakely63","@jakely63")</f>
        <v>@jakely63</v>
      </c>
      <c r="C15" s="8" t="s">
        <v>85</v>
      </c>
      <c r="D15" s="9" t="s">
        <v>86</v>
      </c>
      <c r="E15" s="10" t="str">
        <f>HYPERLINK("https://twitter.com/jakely63/status/1065973407785934848","1065973407785934848")</f>
        <v>1065973407785934848</v>
      </c>
      <c r="F15" s="11" t="s">
        <v>88</v>
      </c>
      <c r="G15" s="11" t="s">
        <v>89</v>
      </c>
      <c r="H15" s="12"/>
      <c r="I15" s="13">
        <v>0</v>
      </c>
      <c r="J15" s="13">
        <v>0</v>
      </c>
      <c r="K15" s="14" t="str">
        <f t="shared" ref="K15:K16" si="5">HYPERLINK("http://twitter.com/download/android","Twitter for Android")</f>
        <v>Twitter for Android</v>
      </c>
      <c r="L15" s="13">
        <v>2014</v>
      </c>
      <c r="M15" s="13">
        <v>2485</v>
      </c>
      <c r="N15" s="13">
        <v>28</v>
      </c>
      <c r="O15" s="15"/>
      <c r="P15" s="6">
        <v>40846.549756944441</v>
      </c>
      <c r="Q15" s="17" t="s">
        <v>90</v>
      </c>
      <c r="R15" s="18"/>
      <c r="S15" s="12"/>
      <c r="T15" s="12"/>
      <c r="U15" s="10" t="str">
        <f>HYPERLINK("https://pbs.twimg.com/profile_images/1014943468874076160/6kd2Alia.jpg","View")</f>
        <v>View</v>
      </c>
    </row>
    <row r="16" spans="1:21" ht="40.799999999999997">
      <c r="A16" s="6">
        <v>43427.26189814815</v>
      </c>
      <c r="B16" s="7" t="str">
        <f>HYPERLINK("https://twitter.com/Opinadeur","@Opinadeur")</f>
        <v>@Opinadeur</v>
      </c>
      <c r="C16" s="8" t="s">
        <v>91</v>
      </c>
      <c r="D16" s="9" t="s">
        <v>92</v>
      </c>
      <c r="E16" s="10" t="str">
        <f>HYPERLINK("https://twitter.com/Opinadeur/status/1065972522016022529","1065972522016022529")</f>
        <v>1065972522016022529</v>
      </c>
      <c r="F16" s="12"/>
      <c r="G16" s="12"/>
      <c r="H16" s="12"/>
      <c r="I16" s="13">
        <v>0</v>
      </c>
      <c r="J16" s="13">
        <v>0</v>
      </c>
      <c r="K16" s="14" t="str">
        <f t="shared" si="5"/>
        <v>Twitter for Android</v>
      </c>
      <c r="L16" s="13">
        <v>11</v>
      </c>
      <c r="M16" s="13">
        <v>73</v>
      </c>
      <c r="N16" s="13">
        <v>0</v>
      </c>
      <c r="O16" s="15"/>
      <c r="P16" s="6">
        <v>43057.35328703704</v>
      </c>
      <c r="Q16" s="17" t="s">
        <v>93</v>
      </c>
      <c r="R16" s="16" t="s">
        <v>94</v>
      </c>
      <c r="S16" s="12"/>
      <c r="T16" s="12"/>
      <c r="U16" s="10" t="str">
        <f>HYPERLINK("https://pbs.twimg.com/profile_images/1036331737268342787/ZBPcm3Iv.jpg","View")</f>
        <v>View</v>
      </c>
    </row>
    <row r="17" spans="1:21" ht="40.799999999999997">
      <c r="A17" s="6">
        <v>43427.261006944449</v>
      </c>
      <c r="B17" s="7" t="str">
        <f>HYPERLINK("https://twitter.com/slaymultimedios","@slaymultimedios")</f>
        <v>@slaymultimedios</v>
      </c>
      <c r="C17" s="8" t="s">
        <v>95</v>
      </c>
      <c r="D17" s="9" t="s">
        <v>96</v>
      </c>
      <c r="E17" s="10" t="str">
        <f>HYPERLINK("https://twitter.com/slaymultimedios/status/1065972198224142336","1065972198224142336")</f>
        <v>1065972198224142336</v>
      </c>
      <c r="F17" s="11" t="s">
        <v>97</v>
      </c>
      <c r="G17" s="12"/>
      <c r="H17" s="12"/>
      <c r="I17" s="13">
        <v>0</v>
      </c>
      <c r="J17" s="13">
        <v>0</v>
      </c>
      <c r="K17" s="14" t="str">
        <f>HYPERLINK("http://www.slaymultimedios.com","WebSiteSlayMultimedios")</f>
        <v>WebSiteSlayMultimedios</v>
      </c>
      <c r="L17" s="13">
        <v>41749</v>
      </c>
      <c r="M17" s="13">
        <v>178</v>
      </c>
      <c r="N17" s="13">
        <v>410</v>
      </c>
      <c r="O17" s="15"/>
      <c r="P17" s="6">
        <v>40209.55605324074</v>
      </c>
      <c r="Q17" s="17" t="s">
        <v>98</v>
      </c>
      <c r="R17" s="16" t="s">
        <v>99</v>
      </c>
      <c r="S17" s="11" t="s">
        <v>100</v>
      </c>
      <c r="T17" s="12"/>
      <c r="U17" s="10" t="str">
        <f>HYPERLINK("https://pbs.twimg.com/profile_images/714690465916817408/1NXaiuED.jpg","View")</f>
        <v>View</v>
      </c>
    </row>
    <row r="18" spans="1:21" ht="30.6">
      <c r="A18" s="6">
        <v>43427.259525462963</v>
      </c>
      <c r="B18" s="7" t="str">
        <f>HYPERLINK("https://twitter.com/JorgeAbayalde","@JorgeAbayalde")</f>
        <v>@JorgeAbayalde</v>
      </c>
      <c r="C18" s="8" t="s">
        <v>101</v>
      </c>
      <c r="D18" s="9" t="s">
        <v>45</v>
      </c>
      <c r="E18" s="10" t="str">
        <f>HYPERLINK("https://twitter.com/JorgeAbayalde/status/1065971659742547968","1065971659742547968")</f>
        <v>1065971659742547968</v>
      </c>
      <c r="F18" s="11" t="s">
        <v>84</v>
      </c>
      <c r="G18" s="12"/>
      <c r="H18" s="12"/>
      <c r="I18" s="13">
        <v>0</v>
      </c>
      <c r="J18" s="13">
        <v>0</v>
      </c>
      <c r="K18" s="14" t="str">
        <f>HYPERLINK("http://twitter.com","Twitter Web Client")</f>
        <v>Twitter Web Client</v>
      </c>
      <c r="L18" s="13">
        <v>24</v>
      </c>
      <c r="M18" s="13">
        <v>151</v>
      </c>
      <c r="N18" s="13">
        <v>0</v>
      </c>
      <c r="O18" s="15"/>
      <c r="P18" s="6">
        <v>42124.215810185182</v>
      </c>
      <c r="Q18" s="12"/>
      <c r="R18" s="18"/>
      <c r="S18" s="12"/>
      <c r="T18" s="12"/>
      <c r="U18" s="10" t="str">
        <f>HYPERLINK("https://pbs.twimg.com/profile_images/593750389813551106/v3-ZXxSt.jpg","View")</f>
        <v>View</v>
      </c>
    </row>
    <row r="19" spans="1:21" ht="51">
      <c r="A19" s="6">
        <v>43427.256886574076</v>
      </c>
      <c r="B19" s="7" t="str">
        <f>HYPERLINK("https://twitter.com/luismicrg","@luismicrg")</f>
        <v>@luismicrg</v>
      </c>
      <c r="C19" s="8" t="s">
        <v>102</v>
      </c>
      <c r="D19" s="9" t="s">
        <v>103</v>
      </c>
      <c r="E19" s="10" t="str">
        <f>HYPERLINK("https://twitter.com/luismicrg/status/1065970705836253184","1065970705836253184")</f>
        <v>1065970705836253184</v>
      </c>
      <c r="F19" s="12"/>
      <c r="G19" s="11" t="s">
        <v>104</v>
      </c>
      <c r="H19" s="12"/>
      <c r="I19" s="13">
        <v>0</v>
      </c>
      <c r="J19" s="13">
        <v>0</v>
      </c>
      <c r="K19" s="14" t="str">
        <f>HYPERLINK("http://twitter.com/download/android","Twitter for Android")</f>
        <v>Twitter for Android</v>
      </c>
      <c r="L19" s="13">
        <v>11</v>
      </c>
      <c r="M19" s="13">
        <v>56</v>
      </c>
      <c r="N19" s="13">
        <v>0</v>
      </c>
      <c r="O19" s="15"/>
      <c r="P19" s="6">
        <v>43388.311932870369</v>
      </c>
      <c r="Q19" s="17" t="s">
        <v>26</v>
      </c>
      <c r="R19" s="16" t="s">
        <v>105</v>
      </c>
      <c r="S19" s="12"/>
      <c r="T19" s="12"/>
      <c r="U19" s="10" t="str">
        <f>HYPERLINK("https://pbs.twimg.com/profile_images/1051844765132759046/B7Y3KRCO.jpg","View")</f>
        <v>View</v>
      </c>
    </row>
    <row r="20" spans="1:21" ht="40.799999999999997">
      <c r="A20" s="6">
        <v>43427.25618055556</v>
      </c>
      <c r="B20" s="7" t="str">
        <f>HYPERLINK("https://twitter.com/Rafaelfiglesias","@Rafaelfiglesias")</f>
        <v>@Rafaelfiglesias</v>
      </c>
      <c r="C20" s="8" t="s">
        <v>106</v>
      </c>
      <c r="D20" s="9" t="s">
        <v>107</v>
      </c>
      <c r="E20" s="10" t="str">
        <f>HYPERLINK("https://twitter.com/Rafaelfiglesias/status/1065970449169989638","1065970449169989638")</f>
        <v>1065970449169989638</v>
      </c>
      <c r="F20" s="11" t="s">
        <v>84</v>
      </c>
      <c r="G20" s="12"/>
      <c r="H20" s="12"/>
      <c r="I20" s="13">
        <v>0</v>
      </c>
      <c r="J20" s="13">
        <v>0</v>
      </c>
      <c r="K20" s="14" t="str">
        <f>HYPERLINK("http://twitter.com","Twitter Web Client")</f>
        <v>Twitter Web Client</v>
      </c>
      <c r="L20" s="13">
        <v>1051</v>
      </c>
      <c r="M20" s="13">
        <v>964</v>
      </c>
      <c r="N20" s="13">
        <v>13</v>
      </c>
      <c r="O20" s="15"/>
      <c r="P20" s="6">
        <v>40531.354375000003</v>
      </c>
      <c r="Q20" s="17" t="s">
        <v>110</v>
      </c>
      <c r="R20" s="16" t="s">
        <v>112</v>
      </c>
      <c r="S20" s="11" t="s">
        <v>113</v>
      </c>
      <c r="T20" s="12"/>
      <c r="U20" s="10" t="str">
        <f>HYPERLINK("https://pbs.twimg.com/profile_images/796108645503213569/ms0nX-so.jpg","View")</f>
        <v>View</v>
      </c>
    </row>
    <row r="21" spans="1:21" ht="30.6">
      <c r="A21" s="6">
        <v>43427.248171296298</v>
      </c>
      <c r="B21" s="7" t="str">
        <f>HYPERLINK("https://twitter.com/MARIAJ_SALADO","@MARIAJ_SALADO")</f>
        <v>@MARIAJ_SALADO</v>
      </c>
      <c r="C21" s="8" t="s">
        <v>115</v>
      </c>
      <c r="D21" s="9" t="s">
        <v>116</v>
      </c>
      <c r="E21" s="10" t="str">
        <f>HYPERLINK("https://twitter.com/MARIAJ_SALADO/status/1065967545751080960","1065967545751080960")</f>
        <v>1065967545751080960</v>
      </c>
      <c r="F21" s="11" t="s">
        <v>117</v>
      </c>
      <c r="G21" s="12"/>
      <c r="H21" s="12"/>
      <c r="I21" s="13">
        <v>1</v>
      </c>
      <c r="J21" s="13">
        <v>1</v>
      </c>
      <c r="K21" s="14" t="str">
        <f>HYPERLINK("http://www.crowdfireapp.com","Crowdfire - Go Big")</f>
        <v>Crowdfire - Go Big</v>
      </c>
      <c r="L21" s="13">
        <v>6906</v>
      </c>
      <c r="M21" s="13">
        <v>3086</v>
      </c>
      <c r="N21" s="13">
        <v>83</v>
      </c>
      <c r="O21" s="15"/>
      <c r="P21" s="6">
        <v>40721.239363425928</v>
      </c>
      <c r="Q21" s="17" t="s">
        <v>119</v>
      </c>
      <c r="R21" s="16" t="s">
        <v>120</v>
      </c>
      <c r="S21" s="12"/>
      <c r="T21" s="12"/>
      <c r="U21" s="10" t="str">
        <f>HYPERLINK("https://pbs.twimg.com/profile_images/1001117315566637056/7n7Si_YN.jpg","View")</f>
        <v>View</v>
      </c>
    </row>
    <row r="22" spans="1:21" ht="40.799999999999997">
      <c r="A22" s="6">
        <v>43427.246145833335</v>
      </c>
      <c r="B22" s="7" t="str">
        <f>HYPERLINK("https://twitter.com/AugeAabye","@AugeAabye")</f>
        <v>@AugeAabye</v>
      </c>
      <c r="C22" s="8" t="s">
        <v>121</v>
      </c>
      <c r="D22" s="9" t="s">
        <v>45</v>
      </c>
      <c r="E22" s="10" t="str">
        <f>HYPERLINK("https://twitter.com/AugeAabye/status/1065966812217700352","1065966812217700352")</f>
        <v>1065966812217700352</v>
      </c>
      <c r="F22" s="11" t="s">
        <v>84</v>
      </c>
      <c r="G22" s="12"/>
      <c r="H22" s="12"/>
      <c r="I22" s="13">
        <v>0</v>
      </c>
      <c r="J22" s="13">
        <v>0</v>
      </c>
      <c r="K22" s="14" t="str">
        <f>HYPERLINK("http://twitter.com/#!/download/ipad","Twitter for iPad")</f>
        <v>Twitter for iPad</v>
      </c>
      <c r="L22" s="13">
        <v>2357</v>
      </c>
      <c r="M22" s="13">
        <v>2571</v>
      </c>
      <c r="N22" s="13">
        <v>54</v>
      </c>
      <c r="O22" s="15"/>
      <c r="P22" s="6">
        <v>39935.835798611108</v>
      </c>
      <c r="Q22" s="17" t="s">
        <v>122</v>
      </c>
      <c r="R22" s="16" t="s">
        <v>123</v>
      </c>
      <c r="S22" s="12"/>
      <c r="T22" s="12"/>
      <c r="U22" s="10" t="str">
        <f>HYPERLINK("https://pbs.twimg.com/profile_images/892341560079253504/Q4HI0xWM.jpg","View")</f>
        <v>View</v>
      </c>
    </row>
    <row r="23" spans="1:21" ht="51">
      <c r="A23" s="6">
        <v>43427.244351851856</v>
      </c>
      <c r="B23" s="7" t="str">
        <f>HYPERLINK("https://twitter.com/Josma1946Jose","@Josma1946Jose")</f>
        <v>@Josma1946Jose</v>
      </c>
      <c r="C23" s="8" t="s">
        <v>124</v>
      </c>
      <c r="D23" s="9" t="s">
        <v>125</v>
      </c>
      <c r="E23" s="10" t="str">
        <f>HYPERLINK("https://twitter.com/Josma1946Jose/status/1065966164474585088","1065966164474585088")</f>
        <v>1065966164474585088</v>
      </c>
      <c r="F23" s="12"/>
      <c r="G23" s="12"/>
      <c r="H23" s="12"/>
      <c r="I23" s="13">
        <v>0</v>
      </c>
      <c r="J23" s="13">
        <v>0</v>
      </c>
      <c r="K23" s="14" t="str">
        <f t="shared" ref="K23:K31" si="6">HYPERLINK("http://twitter.com/download/android","Twitter for Android")</f>
        <v>Twitter for Android</v>
      </c>
      <c r="L23" s="13">
        <v>83</v>
      </c>
      <c r="M23" s="13">
        <v>214</v>
      </c>
      <c r="N23" s="13">
        <v>3</v>
      </c>
      <c r="O23" s="15"/>
      <c r="P23" s="6">
        <v>41437.527326388888</v>
      </c>
      <c r="Q23" s="12"/>
      <c r="R23" s="16" t="s">
        <v>126</v>
      </c>
      <c r="S23" s="12"/>
      <c r="T23" s="12"/>
      <c r="U23" s="10" t="str">
        <f>HYPERLINK("https://pbs.twimg.com/profile_images/378800000803479852/f6f3db4a3c50d1d512a08031d1045f00.jpeg","View")</f>
        <v>View</v>
      </c>
    </row>
    <row r="24" spans="1:21" ht="30.6">
      <c r="A24" s="6">
        <v>43427.243472222224</v>
      </c>
      <c r="B24" s="7" t="str">
        <f>HYPERLINK("https://twitter.com/chuchoquehabla","@chuchoquehabla")</f>
        <v>@chuchoquehabla</v>
      </c>
      <c r="C24" s="8" t="s">
        <v>127</v>
      </c>
      <c r="D24" s="9" t="s">
        <v>128</v>
      </c>
      <c r="E24" s="10" t="str">
        <f>HYPERLINK("https://twitter.com/chuchoquehabla/status/1065965844382003200","1065965844382003200")</f>
        <v>1065965844382003200</v>
      </c>
      <c r="F24" s="12"/>
      <c r="G24" s="11" t="s">
        <v>129</v>
      </c>
      <c r="H24" s="12"/>
      <c r="I24" s="13">
        <v>0</v>
      </c>
      <c r="J24" s="13">
        <v>0</v>
      </c>
      <c r="K24" s="14" t="str">
        <f t="shared" si="6"/>
        <v>Twitter for Android</v>
      </c>
      <c r="L24" s="13">
        <v>4024</v>
      </c>
      <c r="M24" s="13">
        <v>5002</v>
      </c>
      <c r="N24" s="13">
        <v>88</v>
      </c>
      <c r="O24" s="15"/>
      <c r="P24" s="6">
        <v>42083.282870370371</v>
      </c>
      <c r="Q24" s="17" t="s">
        <v>130</v>
      </c>
      <c r="R24" s="16" t="s">
        <v>131</v>
      </c>
      <c r="S24" s="12"/>
      <c r="T24" s="12"/>
      <c r="U24" s="10" t="str">
        <f>HYPERLINK("https://pbs.twimg.com/profile_images/951197577445298176/Ez8MfyjC.jpg","View")</f>
        <v>View</v>
      </c>
    </row>
    <row r="25" spans="1:21" ht="20.399999999999999">
      <c r="A25" s="6">
        <v>43427.241053240738</v>
      </c>
      <c r="B25" s="7" t="str">
        <f>HYPERLINK("https://twitter.com/RedondoMarcos","@RedondoMarcos")</f>
        <v>@RedondoMarcos</v>
      </c>
      <c r="C25" s="8" t="s">
        <v>132</v>
      </c>
      <c r="D25" s="9" t="s">
        <v>133</v>
      </c>
      <c r="E25" s="10" t="str">
        <f>HYPERLINK("https://twitter.com/RedondoMarcos/status/1065964965281128448","1065964965281128448")</f>
        <v>1065964965281128448</v>
      </c>
      <c r="F25" s="11" t="s">
        <v>134</v>
      </c>
      <c r="G25" s="12"/>
      <c r="H25" s="12"/>
      <c r="I25" s="13">
        <v>0</v>
      </c>
      <c r="J25" s="13">
        <v>0</v>
      </c>
      <c r="K25" s="14" t="str">
        <f t="shared" si="6"/>
        <v>Twitter for Android</v>
      </c>
      <c r="L25" s="13">
        <v>45</v>
      </c>
      <c r="M25" s="13">
        <v>73</v>
      </c>
      <c r="N25" s="13">
        <v>2</v>
      </c>
      <c r="O25" s="15"/>
      <c r="P25" s="6">
        <v>40976.601493055554</v>
      </c>
      <c r="Q25" s="17" t="s">
        <v>135</v>
      </c>
      <c r="R25" s="16" t="s">
        <v>136</v>
      </c>
      <c r="S25" s="12"/>
      <c r="T25" s="12"/>
      <c r="U25" s="10" t="str">
        <f>HYPERLINK("https://pbs.twimg.com/profile_images/746734571341910016/C3UvB21X.jpg","View")</f>
        <v>View</v>
      </c>
    </row>
    <row r="26" spans="1:21" ht="40.799999999999997">
      <c r="A26" s="6">
        <v>43427.239965277782</v>
      </c>
      <c r="B26" s="7" t="str">
        <f>HYPERLINK("https://twitter.com/danielsenderos","@danielsenderos")</f>
        <v>@danielsenderos</v>
      </c>
      <c r="C26" s="8" t="s">
        <v>137</v>
      </c>
      <c r="D26" s="9" t="s">
        <v>138</v>
      </c>
      <c r="E26" s="10" t="str">
        <f>HYPERLINK("https://twitter.com/danielsenderos/status/1065964572140548097","1065964572140548097")</f>
        <v>1065964572140548097</v>
      </c>
      <c r="F26" s="11" t="s">
        <v>139</v>
      </c>
      <c r="G26" s="12"/>
      <c r="H26" s="12"/>
      <c r="I26" s="13">
        <v>3</v>
      </c>
      <c r="J26" s="13">
        <v>1</v>
      </c>
      <c r="K26" s="14" t="str">
        <f t="shared" si="6"/>
        <v>Twitter for Android</v>
      </c>
      <c r="L26" s="13">
        <v>23146</v>
      </c>
      <c r="M26" s="13">
        <v>20300</v>
      </c>
      <c r="N26" s="13">
        <v>218</v>
      </c>
      <c r="O26" s="15"/>
      <c r="P26" s="6">
        <v>41911.006203703706</v>
      </c>
      <c r="Q26" s="17" t="s">
        <v>140</v>
      </c>
      <c r="R26" s="16" t="s">
        <v>141</v>
      </c>
      <c r="S26" s="11" t="s">
        <v>142</v>
      </c>
      <c r="T26" s="12"/>
      <c r="U26" s="10" t="str">
        <f>HYPERLINK("https://pbs.twimg.com/profile_images/1065209598586564613/QOi02EBe.jpg","View")</f>
        <v>View</v>
      </c>
    </row>
    <row r="27" spans="1:21" ht="20.399999999999999">
      <c r="A27" s="6">
        <v>43427.239432870367</v>
      </c>
      <c r="B27" s="7" t="str">
        <f>HYPERLINK("https://twitter.com/jimvilx","@jimvilx")</f>
        <v>@jimvilx</v>
      </c>
      <c r="C27" s="8" t="s">
        <v>144</v>
      </c>
      <c r="D27" s="9" t="s">
        <v>145</v>
      </c>
      <c r="E27" s="10" t="str">
        <f>HYPERLINK("https://twitter.com/jimvilx/status/1065964381073260544","1065964381073260544")</f>
        <v>1065964381073260544</v>
      </c>
      <c r="F27" s="11" t="s">
        <v>146</v>
      </c>
      <c r="G27" s="12"/>
      <c r="H27" s="12"/>
      <c r="I27" s="13">
        <v>0</v>
      </c>
      <c r="J27" s="13">
        <v>0</v>
      </c>
      <c r="K27" s="14" t="str">
        <f t="shared" si="6"/>
        <v>Twitter for Android</v>
      </c>
      <c r="L27" s="13">
        <v>109</v>
      </c>
      <c r="M27" s="13">
        <v>312</v>
      </c>
      <c r="N27" s="13">
        <v>7</v>
      </c>
      <c r="O27" s="15"/>
      <c r="P27" s="6">
        <v>41572.601041666669</v>
      </c>
      <c r="Q27" s="17" t="s">
        <v>147</v>
      </c>
      <c r="R27" s="16" t="s">
        <v>148</v>
      </c>
      <c r="S27" s="12"/>
      <c r="T27" s="12"/>
      <c r="U27" s="10" t="str">
        <f>HYPERLINK("https://pbs.twimg.com/profile_images/914029584512937984/B1sX06AY.jpg","View")</f>
        <v>View</v>
      </c>
    </row>
    <row r="28" spans="1:21" ht="30.6">
      <c r="A28" s="6">
        <v>43427.239421296297</v>
      </c>
      <c r="B28" s="7" t="str">
        <f>HYPERLINK("https://twitter.com/fzinicsp","@fzinicsp")</f>
        <v>@fzinicsp</v>
      </c>
      <c r="C28" s="8" t="s">
        <v>150</v>
      </c>
      <c r="D28" s="9" t="s">
        <v>151</v>
      </c>
      <c r="E28" s="10" t="str">
        <f>HYPERLINK("https://twitter.com/fzinicsp/status/1065964376644034560","1065964376644034560")</f>
        <v>1065964376644034560</v>
      </c>
      <c r="F28" s="11" t="s">
        <v>47</v>
      </c>
      <c r="G28" s="12"/>
      <c r="H28" s="12"/>
      <c r="I28" s="13">
        <v>0</v>
      </c>
      <c r="J28" s="13">
        <v>0</v>
      </c>
      <c r="K28" s="14" t="str">
        <f t="shared" si="6"/>
        <v>Twitter for Android</v>
      </c>
      <c r="L28" s="13">
        <v>306</v>
      </c>
      <c r="M28" s="13">
        <v>298</v>
      </c>
      <c r="N28" s="13">
        <v>12</v>
      </c>
      <c r="O28" s="15"/>
      <c r="P28" s="6">
        <v>42523.244305555556</v>
      </c>
      <c r="Q28" s="17" t="s">
        <v>152</v>
      </c>
      <c r="R28" s="16" t="s">
        <v>153</v>
      </c>
      <c r="S28" s="12"/>
      <c r="T28" s="12"/>
      <c r="U28" s="10" t="str">
        <f>HYPERLINK("https://pbs.twimg.com/profile_images/1015619255088316418/UsayqnX6.jpg","View")</f>
        <v>View</v>
      </c>
    </row>
    <row r="29" spans="1:21" ht="61.2">
      <c r="A29" s="6">
        <v>43427.239282407405</v>
      </c>
      <c r="B29" s="7" t="str">
        <f>HYPERLINK("https://twitter.com/MARIAJ_SALADO","@MARIAJ_SALADO")</f>
        <v>@MARIAJ_SALADO</v>
      </c>
      <c r="C29" s="8" t="s">
        <v>115</v>
      </c>
      <c r="D29" s="9" t="s">
        <v>155</v>
      </c>
      <c r="E29" s="10" t="str">
        <f>HYPERLINK("https://twitter.com/MARIAJ_SALADO/status/1065964323367989248","1065964323367989248")</f>
        <v>1065964323367989248</v>
      </c>
      <c r="F29" s="11" t="s">
        <v>156</v>
      </c>
      <c r="G29" s="11" t="s">
        <v>157</v>
      </c>
      <c r="H29" s="12"/>
      <c r="I29" s="13">
        <v>4</v>
      </c>
      <c r="J29" s="13">
        <v>1</v>
      </c>
      <c r="K29" s="14" t="str">
        <f t="shared" si="6"/>
        <v>Twitter for Android</v>
      </c>
      <c r="L29" s="13">
        <v>6906</v>
      </c>
      <c r="M29" s="13">
        <v>3086</v>
      </c>
      <c r="N29" s="13">
        <v>83</v>
      </c>
      <c r="O29" s="15"/>
      <c r="P29" s="6">
        <v>40721.239363425928</v>
      </c>
      <c r="Q29" s="17" t="s">
        <v>119</v>
      </c>
      <c r="R29" s="16" t="s">
        <v>120</v>
      </c>
      <c r="S29" s="12"/>
      <c r="T29" s="12"/>
      <c r="U29" s="10" t="str">
        <f>HYPERLINK("https://pbs.twimg.com/profile_images/1001117315566637056/7n7Si_YN.jpg","View")</f>
        <v>View</v>
      </c>
    </row>
    <row r="30" spans="1:21" ht="30.6">
      <c r="A30" s="6">
        <v>43427.23810185185</v>
      </c>
      <c r="B30" s="7" t="str">
        <f>HYPERLINK("https://twitter.com/atgcr","@atgcr")</f>
        <v>@atgcr</v>
      </c>
      <c r="C30" s="8" t="s">
        <v>158</v>
      </c>
      <c r="D30" s="9" t="s">
        <v>159</v>
      </c>
      <c r="E30" s="10" t="str">
        <f>HYPERLINK("https://twitter.com/atgcr/status/1065963898594045952","1065963898594045952")</f>
        <v>1065963898594045952</v>
      </c>
      <c r="F30" s="12"/>
      <c r="G30" s="12"/>
      <c r="H30" s="12"/>
      <c r="I30" s="13">
        <v>0</v>
      </c>
      <c r="J30" s="13">
        <v>1</v>
      </c>
      <c r="K30" s="14" t="str">
        <f t="shared" si="6"/>
        <v>Twitter for Android</v>
      </c>
      <c r="L30" s="13">
        <v>1042</v>
      </c>
      <c r="M30" s="13">
        <v>1472</v>
      </c>
      <c r="N30" s="13">
        <v>12</v>
      </c>
      <c r="O30" s="15"/>
      <c r="P30" s="6">
        <v>40854.238379629627</v>
      </c>
      <c r="Q30" s="17" t="s">
        <v>160</v>
      </c>
      <c r="R30" s="18"/>
      <c r="S30" s="12"/>
      <c r="T30" s="12"/>
      <c r="U30" s="10" t="str">
        <f>HYPERLINK("https://pbs.twimg.com/profile_images/1065758340381360128/sOiS6o-Y.jpg","View")</f>
        <v>View</v>
      </c>
    </row>
    <row r="31" spans="1:21" ht="51">
      <c r="A31" s="6">
        <v>43427.235092592593</v>
      </c>
      <c r="B31" s="7" t="str">
        <f>HYPERLINK("https://twitter.com/JC_C_A","@JC_C_A")</f>
        <v>@JC_C_A</v>
      </c>
      <c r="C31" s="8" t="s">
        <v>161</v>
      </c>
      <c r="D31" s="9" t="s">
        <v>162</v>
      </c>
      <c r="E31" s="10" t="str">
        <f>HYPERLINK("https://twitter.com/JC_C_A/status/1065962808381194241","1065962808381194241")</f>
        <v>1065962808381194241</v>
      </c>
      <c r="F31" s="12"/>
      <c r="G31" s="12"/>
      <c r="H31" s="12"/>
      <c r="I31" s="13">
        <v>2</v>
      </c>
      <c r="J31" s="13">
        <v>1</v>
      </c>
      <c r="K31" s="14" t="str">
        <f t="shared" si="6"/>
        <v>Twitter for Android</v>
      </c>
      <c r="L31" s="13">
        <v>1491</v>
      </c>
      <c r="M31" s="13">
        <v>1218</v>
      </c>
      <c r="N31" s="13">
        <v>4</v>
      </c>
      <c r="O31" s="15"/>
      <c r="P31" s="6">
        <v>43055.56385416667</v>
      </c>
      <c r="Q31" s="17" t="s">
        <v>163</v>
      </c>
      <c r="R31" s="16" t="s">
        <v>164</v>
      </c>
      <c r="S31" s="12"/>
      <c r="T31" s="12"/>
      <c r="U31" s="10" t="str">
        <f>HYPERLINK("https://pbs.twimg.com/profile_images/1029775179520647169/gj_YgLkP.jpg","View")</f>
        <v>View</v>
      </c>
    </row>
    <row r="32" spans="1:21" ht="20.399999999999999">
      <c r="A32" s="6">
        <v>43427.234178240746</v>
      </c>
      <c r="B32" s="7" t="str">
        <f>HYPERLINK("https://twitter.com/VIBEFAMILY","@VIBEFAMILY")</f>
        <v>@VIBEFAMILY</v>
      </c>
      <c r="C32" s="8" t="s">
        <v>165</v>
      </c>
      <c r="D32" s="9" t="s">
        <v>116</v>
      </c>
      <c r="E32" s="10" t="str">
        <f>HYPERLINK("https://twitter.com/VIBEFAMILY/status/1065962475756109824","1065962475756109824")</f>
        <v>1065962475756109824</v>
      </c>
      <c r="F32" s="11" t="s">
        <v>166</v>
      </c>
      <c r="G32" s="12"/>
      <c r="H32" s="12"/>
      <c r="I32" s="13">
        <v>0</v>
      </c>
      <c r="J32" s="13">
        <v>0</v>
      </c>
      <c r="K32" s="14" t="str">
        <f>HYPERLINK("http://www.facebook.com/twitter","Facebook")</f>
        <v>Facebook</v>
      </c>
      <c r="L32" s="13">
        <v>215</v>
      </c>
      <c r="M32" s="13">
        <v>224</v>
      </c>
      <c r="N32" s="13">
        <v>3</v>
      </c>
      <c r="O32" s="15"/>
      <c r="P32" s="6">
        <v>40254.623391203706</v>
      </c>
      <c r="Q32" s="17" t="s">
        <v>167</v>
      </c>
      <c r="R32" s="16" t="s">
        <v>168</v>
      </c>
      <c r="S32" s="11" t="s">
        <v>169</v>
      </c>
      <c r="T32" s="12"/>
      <c r="U32" s="10" t="str">
        <f>HYPERLINK("https://pbs.twimg.com/profile_images/978033432109469696/TtXZ5RSM.jpg","View")</f>
        <v>View</v>
      </c>
    </row>
    <row r="33" spans="1:21" ht="40.799999999999997">
      <c r="A33" s="6">
        <v>43427.233356481476</v>
      </c>
      <c r="B33" s="7" t="str">
        <f>HYPERLINK("https://twitter.com/juanca_sev","@juanca_sev")</f>
        <v>@juanca_sev</v>
      </c>
      <c r="C33" s="8" t="s">
        <v>170</v>
      </c>
      <c r="D33" s="9" t="s">
        <v>171</v>
      </c>
      <c r="E33" s="10" t="str">
        <f>HYPERLINK("https://twitter.com/juanca_sev/status/1065962179743150080","1065962179743150080")</f>
        <v>1065962179743150080</v>
      </c>
      <c r="F33" s="12"/>
      <c r="G33" s="11" t="s">
        <v>172</v>
      </c>
      <c r="H33" s="12"/>
      <c r="I33" s="13">
        <v>0</v>
      </c>
      <c r="J33" s="13">
        <v>0</v>
      </c>
      <c r="K33" s="14" t="str">
        <f t="shared" ref="K33:K36" si="7">HYPERLINK("http://twitter.com/download/android","Twitter for Android")</f>
        <v>Twitter for Android</v>
      </c>
      <c r="L33" s="13">
        <v>2436</v>
      </c>
      <c r="M33" s="13">
        <v>1000</v>
      </c>
      <c r="N33" s="13">
        <v>69</v>
      </c>
      <c r="O33" s="15"/>
      <c r="P33" s="6">
        <v>40061.715787037036</v>
      </c>
      <c r="Q33" s="17" t="s">
        <v>173</v>
      </c>
      <c r="R33" s="16" t="s">
        <v>174</v>
      </c>
      <c r="S33" s="11" t="s">
        <v>175</v>
      </c>
      <c r="T33" s="12"/>
      <c r="U33" s="10" t="str">
        <f>HYPERLINK("https://pbs.twimg.com/profile_images/1063086451917762560/B8nClP5Y.jpg","View")</f>
        <v>View</v>
      </c>
    </row>
    <row r="34" spans="1:21" ht="40.799999999999997">
      <c r="A34" s="6">
        <v>43427.226030092592</v>
      </c>
      <c r="B34" s="7" t="str">
        <f>HYPERLINK("https://twitter.com/cavernacubica","@cavernacubica")</f>
        <v>@cavernacubica</v>
      </c>
      <c r="C34" s="8" t="s">
        <v>176</v>
      </c>
      <c r="D34" s="9" t="s">
        <v>177</v>
      </c>
      <c r="E34" s="10" t="str">
        <f>HYPERLINK("https://twitter.com/cavernacubica/status/1065959522513166337","1065959522513166337")</f>
        <v>1065959522513166337</v>
      </c>
      <c r="F34" s="12"/>
      <c r="G34" s="11" t="s">
        <v>178</v>
      </c>
      <c r="H34" s="12"/>
      <c r="I34" s="13">
        <v>0</v>
      </c>
      <c r="J34" s="13">
        <v>0</v>
      </c>
      <c r="K34" s="14" t="str">
        <f t="shared" si="7"/>
        <v>Twitter for Android</v>
      </c>
      <c r="L34" s="13">
        <v>2280</v>
      </c>
      <c r="M34" s="13">
        <v>3891</v>
      </c>
      <c r="N34" s="13">
        <v>77</v>
      </c>
      <c r="O34" s="15"/>
      <c r="P34" s="6">
        <v>40572.414050925923</v>
      </c>
      <c r="Q34" s="17" t="s">
        <v>179</v>
      </c>
      <c r="R34" s="16" t="s">
        <v>180</v>
      </c>
      <c r="S34" s="11" t="s">
        <v>181</v>
      </c>
      <c r="T34" s="12"/>
      <c r="U34" s="10" t="str">
        <f>HYPERLINK("https://pbs.twimg.com/profile_images/839367232677425152/9krS0CkF.jpg","View")</f>
        <v>View</v>
      </c>
    </row>
    <row r="35" spans="1:21" ht="20.399999999999999">
      <c r="A35" s="6">
        <v>43427.224502314813</v>
      </c>
      <c r="B35" s="7" t="str">
        <f>HYPERLINK("https://twitter.com/demovida2407","@demovida2407")</f>
        <v>@demovida2407</v>
      </c>
      <c r="C35" s="8" t="s">
        <v>182</v>
      </c>
      <c r="D35" s="9" t="s">
        <v>183</v>
      </c>
      <c r="E35" s="10" t="str">
        <f>HYPERLINK("https://twitter.com/demovida2407/status/1065958968961523712","1065958968961523712")</f>
        <v>1065958968961523712</v>
      </c>
      <c r="F35" s="12"/>
      <c r="G35" s="12"/>
      <c r="H35" s="12"/>
      <c r="I35" s="13">
        <v>0</v>
      </c>
      <c r="J35" s="13">
        <v>1</v>
      </c>
      <c r="K35" s="14" t="str">
        <f t="shared" si="7"/>
        <v>Twitter for Android</v>
      </c>
      <c r="L35" s="13">
        <v>268</v>
      </c>
      <c r="M35" s="13">
        <v>276</v>
      </c>
      <c r="N35" s="13">
        <v>11</v>
      </c>
      <c r="O35" s="15"/>
      <c r="P35" s="6">
        <v>40651.127662037034</v>
      </c>
      <c r="Q35" s="17" t="s">
        <v>184</v>
      </c>
      <c r="R35" s="16" t="s">
        <v>185</v>
      </c>
      <c r="S35" s="11" t="s">
        <v>186</v>
      </c>
      <c r="T35" s="12"/>
      <c r="U35" s="10" t="str">
        <f>HYPERLINK("https://pbs.twimg.com/profile_images/885173531306283008/xoJdk7fL.jpg","View")</f>
        <v>View</v>
      </c>
    </row>
    <row r="36" spans="1:21" ht="20.399999999999999">
      <c r="A36" s="6">
        <v>43427.22084490741</v>
      </c>
      <c r="B36" s="7" t="str">
        <f>HYPERLINK("https://twitter.com/brivas_58","@brivas_58")</f>
        <v>@brivas_58</v>
      </c>
      <c r="C36" s="8" t="s">
        <v>188</v>
      </c>
      <c r="D36" s="9" t="s">
        <v>189</v>
      </c>
      <c r="E36" s="10" t="str">
        <f>HYPERLINK("https://twitter.com/brivas_58/status/1065957642575716352","1065957642575716352")</f>
        <v>1065957642575716352</v>
      </c>
      <c r="F36" s="11" t="s">
        <v>190</v>
      </c>
      <c r="G36" s="12"/>
      <c r="H36" s="12"/>
      <c r="I36" s="13">
        <v>0</v>
      </c>
      <c r="J36" s="13">
        <v>0</v>
      </c>
      <c r="K36" s="14" t="str">
        <f t="shared" si="7"/>
        <v>Twitter for Android</v>
      </c>
      <c r="L36" s="13">
        <v>341</v>
      </c>
      <c r="M36" s="13">
        <v>558</v>
      </c>
      <c r="N36" s="13">
        <v>3</v>
      </c>
      <c r="O36" s="15"/>
      <c r="P36" s="6">
        <v>40594.119432870371</v>
      </c>
      <c r="Q36" s="12"/>
      <c r="R36" s="16" t="s">
        <v>191</v>
      </c>
      <c r="S36" s="12"/>
      <c r="T36" s="12"/>
      <c r="U36" s="10" t="str">
        <f>HYPERLINK("https://pbs.twimg.com/profile_images/378800000629958557/abefcaaf567706459c758d2cf7e44d1f.jpeg","View")</f>
        <v>View</v>
      </c>
    </row>
    <row r="37" spans="1:21" ht="40.799999999999997">
      <c r="A37" s="6">
        <v>43427.22047453704</v>
      </c>
      <c r="B37" s="7" t="str">
        <f>HYPERLINK("https://twitter.com/nnggcalahorra","@nnggcalahorra")</f>
        <v>@nnggcalahorra</v>
      </c>
      <c r="C37" s="8" t="s">
        <v>192</v>
      </c>
      <c r="D37" s="9" t="s">
        <v>193</v>
      </c>
      <c r="E37" s="10" t="str">
        <f>HYPERLINK("https://twitter.com/nnggcalahorra/status/1065957508748070917","1065957508748070917")</f>
        <v>1065957508748070917</v>
      </c>
      <c r="F37" s="11" t="s">
        <v>194</v>
      </c>
      <c r="G37" s="12"/>
      <c r="H37" s="12"/>
      <c r="I37" s="13">
        <v>0</v>
      </c>
      <c r="J37" s="13">
        <v>0</v>
      </c>
      <c r="K37" s="14" t="str">
        <f>HYPERLINK("http://www.facebook.com/twitter","Facebook")</f>
        <v>Facebook</v>
      </c>
      <c r="L37" s="13">
        <v>256</v>
      </c>
      <c r="M37" s="13">
        <v>253</v>
      </c>
      <c r="N37" s="13">
        <v>6</v>
      </c>
      <c r="O37" s="15"/>
      <c r="P37" s="6">
        <v>41602.030324074076</v>
      </c>
      <c r="Q37" s="17" t="s">
        <v>195</v>
      </c>
      <c r="R37" s="16" t="s">
        <v>196</v>
      </c>
      <c r="S37" s="11" t="s">
        <v>197</v>
      </c>
      <c r="T37" s="12"/>
      <c r="U37" s="10" t="str">
        <f>HYPERLINK("https://pbs.twimg.com/profile_images/917766110795255808/EKcgWEuT.jpg","View")</f>
        <v>View</v>
      </c>
    </row>
    <row r="38" spans="1:21" ht="30.6">
      <c r="A38" s="6">
        <v>43427.22010416667</v>
      </c>
      <c r="B38" s="7" t="str">
        <f>HYPERLINK("https://twitter.com/Josegonsan","@Josegonsan")</f>
        <v>@Josegonsan</v>
      </c>
      <c r="C38" s="8" t="s">
        <v>198</v>
      </c>
      <c r="D38" s="9" t="s">
        <v>199</v>
      </c>
      <c r="E38" s="10" t="str">
        <f>HYPERLINK("https://twitter.com/Josegonsan/status/1065957375109226496","1065957375109226496")</f>
        <v>1065957375109226496</v>
      </c>
      <c r="F38" s="12"/>
      <c r="G38" s="12"/>
      <c r="H38" s="12"/>
      <c r="I38" s="13">
        <v>0</v>
      </c>
      <c r="J38" s="13">
        <v>0</v>
      </c>
      <c r="K38" s="14" t="str">
        <f>HYPERLINK("http://twitter.com/download/android","Twitter for Android")</f>
        <v>Twitter for Android</v>
      </c>
      <c r="L38" s="13">
        <v>23</v>
      </c>
      <c r="M38" s="13">
        <v>117</v>
      </c>
      <c r="N38" s="13">
        <v>0</v>
      </c>
      <c r="O38" s="15"/>
      <c r="P38" s="6">
        <v>42171.228854166664</v>
      </c>
      <c r="Q38" s="17" t="s">
        <v>200</v>
      </c>
      <c r="R38" s="18"/>
      <c r="S38" s="12"/>
      <c r="T38" s="12"/>
      <c r="U38" s="10" t="str">
        <f>HYPERLINK("https://pbs.twimg.com/profile_images/613410644201721857/9uDgGBog.jpg","View")</f>
        <v>View</v>
      </c>
    </row>
    <row r="39" spans="1:21" ht="20.399999999999999">
      <c r="A39" s="6">
        <v>43427.220046296294</v>
      </c>
      <c r="B39" s="7" t="str">
        <f>HYPERLINK("https://twitter.com/fos_qi","@fos_qi")</f>
        <v>@fos_qi</v>
      </c>
      <c r="C39" s="8" t="s">
        <v>201</v>
      </c>
      <c r="D39" s="9" t="s">
        <v>202</v>
      </c>
      <c r="E39" s="10" t="str">
        <f>HYPERLINK("https://twitter.com/fos_qi/status/1065957353609150464","1065957353609150464")</f>
        <v>1065957353609150464</v>
      </c>
      <c r="F39" s="12"/>
      <c r="G39" s="12"/>
      <c r="H39" s="12"/>
      <c r="I39" s="13">
        <v>0</v>
      </c>
      <c r="J39" s="13">
        <v>0</v>
      </c>
      <c r="K39" s="14" t="str">
        <f>HYPERLINK("http://twitter.com/download/iphone","Twitter for iPhone")</f>
        <v>Twitter for iPhone</v>
      </c>
      <c r="L39" s="13">
        <v>3353</v>
      </c>
      <c r="M39" s="13">
        <v>1001</v>
      </c>
      <c r="N39" s="13">
        <v>33</v>
      </c>
      <c r="O39" s="15"/>
      <c r="P39" s="6">
        <v>40190.516087962962</v>
      </c>
      <c r="Q39" s="17" t="s">
        <v>76</v>
      </c>
      <c r="R39" s="16" t="s">
        <v>204</v>
      </c>
      <c r="S39" s="11" t="s">
        <v>205</v>
      </c>
      <c r="T39" s="12"/>
      <c r="U39" s="10" t="str">
        <f>HYPERLINK("https://pbs.twimg.com/profile_images/1010315236258217984/NQ2iH_Zv.jpg","View")</f>
        <v>View</v>
      </c>
    </row>
    <row r="40" spans="1:21" ht="40.799999999999997">
      <c r="A40" s="6">
        <v>43427.219652777778</v>
      </c>
      <c r="B40" s="7" t="str">
        <f>HYPERLINK("https://twitter.com/dfr1989","@dfr1989")</f>
        <v>@dfr1989</v>
      </c>
      <c r="C40" s="8" t="s">
        <v>206</v>
      </c>
      <c r="D40" s="9" t="s">
        <v>207</v>
      </c>
      <c r="E40" s="10" t="str">
        <f>HYPERLINK("https://twitter.com/dfr1989/status/1065957211648770048","1065957211648770048")</f>
        <v>1065957211648770048</v>
      </c>
      <c r="F40" s="12"/>
      <c r="G40" s="12"/>
      <c r="H40" s="12"/>
      <c r="I40" s="13">
        <v>0</v>
      </c>
      <c r="J40" s="13">
        <v>2</v>
      </c>
      <c r="K40" s="14" t="str">
        <f t="shared" ref="K40:K42" si="8">HYPERLINK("http://twitter.com/download/android","Twitter for Android")</f>
        <v>Twitter for Android</v>
      </c>
      <c r="L40" s="13">
        <v>699</v>
      </c>
      <c r="M40" s="13">
        <v>996</v>
      </c>
      <c r="N40" s="13">
        <v>22</v>
      </c>
      <c r="O40" s="15"/>
      <c r="P40" s="6">
        <v>40156.53429398148</v>
      </c>
      <c r="Q40" s="12"/>
      <c r="R40" s="16" t="s">
        <v>209</v>
      </c>
      <c r="S40" s="12"/>
      <c r="T40" s="12"/>
      <c r="U40" s="10" t="str">
        <f>HYPERLINK("https://pbs.twimg.com/profile_images/769692029358075904/6A-2ljwY.jpg","View")</f>
        <v>View</v>
      </c>
    </row>
    <row r="41" spans="1:21" ht="20.399999999999999">
      <c r="A41" s="6">
        <v>43427.219328703708</v>
      </c>
      <c r="B41" s="7" t="str">
        <f>HYPERLINK("https://twitter.com/Komandante_Solo","@Komandante_Solo")</f>
        <v>@Komandante_Solo</v>
      </c>
      <c r="C41" s="8" t="s">
        <v>210</v>
      </c>
      <c r="D41" s="9" t="s">
        <v>211</v>
      </c>
      <c r="E41" s="10" t="str">
        <f>HYPERLINK("https://twitter.com/Komandante_Solo/status/1065957094073995264","1065957094073995264")</f>
        <v>1065957094073995264</v>
      </c>
      <c r="F41" s="12"/>
      <c r="G41" s="12"/>
      <c r="H41" s="12"/>
      <c r="I41" s="13">
        <v>1</v>
      </c>
      <c r="J41" s="13">
        <v>1</v>
      </c>
      <c r="K41" s="14" t="str">
        <f t="shared" si="8"/>
        <v>Twitter for Android</v>
      </c>
      <c r="L41" s="13">
        <v>1361</v>
      </c>
      <c r="M41" s="13">
        <v>938</v>
      </c>
      <c r="N41" s="13">
        <v>57</v>
      </c>
      <c r="O41" s="15"/>
      <c r="P41" s="6">
        <v>41121.344131944446</v>
      </c>
      <c r="Q41" s="12"/>
      <c r="R41" s="16" t="s">
        <v>212</v>
      </c>
      <c r="S41" s="12"/>
      <c r="T41" s="12"/>
      <c r="U41" s="10" t="str">
        <f>HYPERLINK("https://pbs.twimg.com/profile_images/1037478139180539904/NUXl3V78.jpg","View")</f>
        <v>View</v>
      </c>
    </row>
    <row r="42" spans="1:21" ht="20.399999999999999">
      <c r="A42" s="6">
        <v>43427.219270833331</v>
      </c>
      <c r="B42" s="7" t="str">
        <f>HYPERLINK("https://twitter.com/laquintacolumna","@laquintacolumna")</f>
        <v>@laquintacolumna</v>
      </c>
      <c r="C42" s="8" t="s">
        <v>213</v>
      </c>
      <c r="D42" s="9" t="s">
        <v>214</v>
      </c>
      <c r="E42" s="10" t="str">
        <f>HYPERLINK("https://twitter.com/laquintacolumna/status/1065957074096582657","1065957074096582657")</f>
        <v>1065957074096582657</v>
      </c>
      <c r="F42" s="12"/>
      <c r="G42" s="12"/>
      <c r="H42" s="12"/>
      <c r="I42" s="13">
        <v>5</v>
      </c>
      <c r="J42" s="13">
        <v>13</v>
      </c>
      <c r="K42" s="14" t="str">
        <f t="shared" si="8"/>
        <v>Twitter for Android</v>
      </c>
      <c r="L42" s="13">
        <v>41559</v>
      </c>
      <c r="M42" s="13">
        <v>145</v>
      </c>
      <c r="N42" s="13">
        <v>1277</v>
      </c>
      <c r="O42" s="15"/>
      <c r="P42" s="6">
        <v>39568.090937499997</v>
      </c>
      <c r="Q42" s="17" t="s">
        <v>216</v>
      </c>
      <c r="R42" s="16" t="s">
        <v>217</v>
      </c>
      <c r="S42" s="12"/>
      <c r="T42" s="12"/>
      <c r="U42" s="10" t="str">
        <f>HYPERLINK("https://pbs.twimg.com/profile_images/1058117934525149184/yaVFD3Ng.jpg","View")</f>
        <v>View</v>
      </c>
    </row>
    <row r="43" spans="1:21" ht="30.6">
      <c r="A43" s="6">
        <v>43427.219224537039</v>
      </c>
      <c r="B43" s="7" t="str">
        <f>HYPERLINK("https://twitter.com/Rochista9","@Rochista9")</f>
        <v>@Rochista9</v>
      </c>
      <c r="C43" s="8" t="s">
        <v>218</v>
      </c>
      <c r="D43" s="9" t="s">
        <v>219</v>
      </c>
      <c r="E43" s="10" t="str">
        <f>HYPERLINK("https://twitter.com/Rochista9/status/1065957055931002880","1065957055931002880")</f>
        <v>1065957055931002880</v>
      </c>
      <c r="F43" s="12"/>
      <c r="G43" s="12"/>
      <c r="H43" s="12"/>
      <c r="I43" s="13">
        <v>1</v>
      </c>
      <c r="J43" s="13">
        <v>5</v>
      </c>
      <c r="K43" s="14" t="str">
        <f>HYPERLINK("http://twitter.com/download/iphone","Twitter for iPhone")</f>
        <v>Twitter for iPhone</v>
      </c>
      <c r="L43" s="13">
        <v>766</v>
      </c>
      <c r="M43" s="13">
        <v>391</v>
      </c>
      <c r="N43" s="13">
        <v>11</v>
      </c>
      <c r="O43" s="15"/>
      <c r="P43" s="6">
        <v>40445.462916666671</v>
      </c>
      <c r="Q43" s="17" t="s">
        <v>220</v>
      </c>
      <c r="R43" s="16" t="s">
        <v>221</v>
      </c>
      <c r="S43" s="12"/>
      <c r="T43" s="12"/>
      <c r="U43" s="10" t="str">
        <f>HYPERLINK("https://pbs.twimg.com/profile_images/1057364954070859782/hJIrbeks.jpg","View")</f>
        <v>View</v>
      </c>
    </row>
    <row r="44" spans="1:21" ht="30.6">
      <c r="A44" s="6">
        <v>43427.218958333338</v>
      </c>
      <c r="B44" s="7" t="str">
        <f>HYPERLINK("https://twitter.com/EmilioCabrera7","@EmilioCabrera7")</f>
        <v>@EmilioCabrera7</v>
      </c>
      <c r="C44" s="8" t="s">
        <v>222</v>
      </c>
      <c r="D44" s="9" t="s">
        <v>223</v>
      </c>
      <c r="E44" s="10" t="str">
        <f>HYPERLINK("https://twitter.com/EmilioCabrera7/status/1065956960573505537","1065956960573505537")</f>
        <v>1065956960573505537</v>
      </c>
      <c r="F44" s="12"/>
      <c r="G44" s="12"/>
      <c r="H44" s="12"/>
      <c r="I44" s="13">
        <v>0</v>
      </c>
      <c r="J44" s="13">
        <v>10</v>
      </c>
      <c r="K44" s="14" t="str">
        <f t="shared" ref="K44:K45" si="9">HYPERLINK("http://twitter.com/download/android","Twitter for Android")</f>
        <v>Twitter for Android</v>
      </c>
      <c r="L44" s="13">
        <v>1542</v>
      </c>
      <c r="M44" s="13">
        <v>990</v>
      </c>
      <c r="N44" s="13">
        <v>50</v>
      </c>
      <c r="O44" s="15"/>
      <c r="P44" s="6">
        <v>40316.386932870373</v>
      </c>
      <c r="Q44" s="17" t="s">
        <v>224</v>
      </c>
      <c r="R44" s="16" t="s">
        <v>225</v>
      </c>
      <c r="S44" s="11" t="s">
        <v>226</v>
      </c>
      <c r="T44" s="12"/>
      <c r="U44" s="10" t="str">
        <f>HYPERLINK("https://pbs.twimg.com/profile_images/843222820171735047/3iQ_fHQD.jpg","View")</f>
        <v>View</v>
      </c>
    </row>
    <row r="45" spans="1:21" ht="40.799999999999997">
      <c r="A45" s="6">
        <v>43427.218634259261</v>
      </c>
      <c r="B45" s="7" t="str">
        <f>HYPERLINK("https://twitter.com/FdezAbella","@FdezAbella")</f>
        <v>@FdezAbella</v>
      </c>
      <c r="C45" s="8" t="s">
        <v>227</v>
      </c>
      <c r="D45" s="9" t="s">
        <v>228</v>
      </c>
      <c r="E45" s="10" t="str">
        <f>HYPERLINK("https://twitter.com/FdezAbella/status/1065956844580061185","1065956844580061185")</f>
        <v>1065956844580061185</v>
      </c>
      <c r="F45" s="11" t="s">
        <v>229</v>
      </c>
      <c r="G45" s="12"/>
      <c r="H45" s="12"/>
      <c r="I45" s="13">
        <v>0</v>
      </c>
      <c r="J45" s="13">
        <v>0</v>
      </c>
      <c r="K45" s="14" t="str">
        <f t="shared" si="9"/>
        <v>Twitter for Android</v>
      </c>
      <c r="L45" s="13">
        <v>2342</v>
      </c>
      <c r="M45" s="13">
        <v>4998</v>
      </c>
      <c r="N45" s="13">
        <v>43</v>
      </c>
      <c r="O45" s="15"/>
      <c r="P45" s="6">
        <v>40943.160844907405</v>
      </c>
      <c r="Q45" s="12"/>
      <c r="R45" s="16" t="s">
        <v>230</v>
      </c>
      <c r="S45" s="11" t="s">
        <v>231</v>
      </c>
      <c r="T45" s="12"/>
      <c r="U45" s="10" t="str">
        <f>HYPERLINK("https://pbs.twimg.com/profile_images/848864023693201408/eGzz4z4R.jpg","View")</f>
        <v>View</v>
      </c>
    </row>
    <row r="46" spans="1:21" ht="20.399999999999999">
      <c r="A46" s="6">
        <v>43427.21398148148</v>
      </c>
      <c r="B46" s="7" t="str">
        <f>HYPERLINK("https://twitter.com/ECEspana","@ECEspana")</f>
        <v>@ECEspana</v>
      </c>
      <c r="C46" s="8" t="s">
        <v>232</v>
      </c>
      <c r="D46" s="9" t="s">
        <v>233</v>
      </c>
      <c r="E46" s="10" t="str">
        <f>HYPERLINK("https://twitter.com/ECEspana/status/1065955155638534144","1065955155638534144")</f>
        <v>1065955155638534144</v>
      </c>
      <c r="F46" s="11" t="s">
        <v>234</v>
      </c>
      <c r="G46" s="12"/>
      <c r="H46" s="12"/>
      <c r="I46" s="13">
        <v>0</v>
      </c>
      <c r="J46" s="13">
        <v>0</v>
      </c>
      <c r="K46" s="14" t="str">
        <f>HYPERLINK("https://dlvrit.com/","dlvr.it")</f>
        <v>dlvr.it</v>
      </c>
      <c r="L46" s="13">
        <v>1900</v>
      </c>
      <c r="M46" s="13">
        <v>91</v>
      </c>
      <c r="N46" s="13">
        <v>83</v>
      </c>
      <c r="O46" s="15"/>
      <c r="P46" s="6">
        <v>42291.409953703704</v>
      </c>
      <c r="Q46" s="17" t="s">
        <v>26</v>
      </c>
      <c r="R46" s="16" t="s">
        <v>235</v>
      </c>
      <c r="S46" s="11" t="s">
        <v>236</v>
      </c>
      <c r="T46" s="12"/>
      <c r="U46" s="10" t="str">
        <f>HYPERLINK("https://pbs.twimg.com/profile_images/831789838693183488/XYTdUPcP.jpg","View")</f>
        <v>View</v>
      </c>
    </row>
    <row r="47" spans="1:21" ht="30.6">
      <c r="A47" s="6">
        <v>43427.213078703702</v>
      </c>
      <c r="B47" s="7" t="str">
        <f>HYPERLINK("https://twitter.com/jjibago","@jjibago")</f>
        <v>@jjibago</v>
      </c>
      <c r="C47" s="8" t="s">
        <v>238</v>
      </c>
      <c r="D47" s="9" t="s">
        <v>45</v>
      </c>
      <c r="E47" s="10" t="str">
        <f>HYPERLINK("https://twitter.com/jjibago/status/1065954829602865159","1065954829602865159")</f>
        <v>1065954829602865159</v>
      </c>
      <c r="F47" s="11" t="s">
        <v>84</v>
      </c>
      <c r="G47" s="12"/>
      <c r="H47" s="12"/>
      <c r="I47" s="13">
        <v>0</v>
      </c>
      <c r="J47" s="13">
        <v>0</v>
      </c>
      <c r="K47" s="14" t="str">
        <f t="shared" ref="K47:K49" si="10">HYPERLINK("http://twitter.com","Twitter Web Client")</f>
        <v>Twitter Web Client</v>
      </c>
      <c r="L47" s="13">
        <v>38</v>
      </c>
      <c r="M47" s="13">
        <v>46</v>
      </c>
      <c r="N47" s="13">
        <v>0</v>
      </c>
      <c r="O47" s="15"/>
      <c r="P47" s="6">
        <v>41628.644490740742</v>
      </c>
      <c r="Q47" s="17" t="s">
        <v>239</v>
      </c>
      <c r="R47" s="18"/>
      <c r="S47" s="12"/>
      <c r="T47" s="12"/>
      <c r="U47" s="10" t="str">
        <f>HYPERLINK("https://pbs.twimg.com/profile_images/415670395748884480/6h8gV3i1.png","View")</f>
        <v>View</v>
      </c>
    </row>
    <row r="48" spans="1:21" ht="30.6">
      <c r="A48" s="6">
        <v>43427.211863425924</v>
      </c>
      <c r="B48" s="7" t="str">
        <f>HYPERLINK("https://twitter.com/envidiadela","@envidiadela")</f>
        <v>@envidiadela</v>
      </c>
      <c r="C48" s="8" t="s">
        <v>242</v>
      </c>
      <c r="D48" s="9" t="s">
        <v>45</v>
      </c>
      <c r="E48" s="10" t="str">
        <f>HYPERLINK("https://twitter.com/envidiadela/status/1065954388928356352","1065954388928356352")</f>
        <v>1065954388928356352</v>
      </c>
      <c r="F48" s="11" t="s">
        <v>84</v>
      </c>
      <c r="G48" s="12"/>
      <c r="H48" s="12"/>
      <c r="I48" s="13">
        <v>0</v>
      </c>
      <c r="J48" s="13">
        <v>0</v>
      </c>
      <c r="K48" s="14" t="str">
        <f t="shared" si="10"/>
        <v>Twitter Web Client</v>
      </c>
      <c r="L48" s="13">
        <v>945</v>
      </c>
      <c r="M48" s="13">
        <v>1346</v>
      </c>
      <c r="N48" s="13">
        <v>16</v>
      </c>
      <c r="O48" s="15"/>
      <c r="P48" s="6">
        <v>41075.468692129631</v>
      </c>
      <c r="Q48" s="12"/>
      <c r="R48" s="16" t="s">
        <v>243</v>
      </c>
      <c r="S48" s="12"/>
      <c r="T48" s="12"/>
      <c r="U48" s="10" t="str">
        <f>HYPERLINK("https://pbs.twimg.com/profile_images/3742385938/be13c93db7b894638775db25e20c36e3.jpeg","View")</f>
        <v>View</v>
      </c>
    </row>
    <row r="49" spans="1:21" ht="20.399999999999999">
      <c r="A49" s="6">
        <v>43427.211863425924</v>
      </c>
      <c r="B49" s="7" t="str">
        <f>HYPERLINK("https://twitter.com/Santonesa","@Santonesa")</f>
        <v>@Santonesa</v>
      </c>
      <c r="C49" s="8" t="s">
        <v>244</v>
      </c>
      <c r="D49" s="9" t="s">
        <v>245</v>
      </c>
      <c r="E49" s="10" t="str">
        <f>HYPERLINK("https://twitter.com/Santonesa/status/1065954387183439873","1065954387183439873")</f>
        <v>1065954387183439873</v>
      </c>
      <c r="F49" s="11" t="s">
        <v>246</v>
      </c>
      <c r="G49" s="12"/>
      <c r="H49" s="12"/>
      <c r="I49" s="13">
        <v>0</v>
      </c>
      <c r="J49" s="13">
        <v>0</v>
      </c>
      <c r="K49" s="14" t="str">
        <f t="shared" si="10"/>
        <v>Twitter Web Client</v>
      </c>
      <c r="L49" s="13">
        <v>2020</v>
      </c>
      <c r="M49" s="13">
        <v>1852</v>
      </c>
      <c r="N49" s="13">
        <v>42</v>
      </c>
      <c r="O49" s="15"/>
      <c r="P49" s="6">
        <v>39639.318171296298</v>
      </c>
      <c r="Q49" s="12"/>
      <c r="R49" s="16" t="s">
        <v>247</v>
      </c>
      <c r="S49" s="12"/>
      <c r="T49" s="12"/>
      <c r="U49" s="10" t="str">
        <f>HYPERLINK("https://pbs.twimg.com/profile_images/1003914302749888512/-mU70V74.jpg","View")</f>
        <v>View</v>
      </c>
    </row>
    <row r="50" spans="1:21" ht="20.399999999999999">
      <c r="A50" s="6">
        <v>43427.208483796298</v>
      </c>
      <c r="B50" s="7" t="str">
        <f>HYPERLINK("https://twitter.com/agubelu_bot","@agubelu_bot")</f>
        <v>@agubelu_bot</v>
      </c>
      <c r="C50" s="8" t="s">
        <v>249</v>
      </c>
      <c r="D50" s="9" t="s">
        <v>250</v>
      </c>
      <c r="E50" s="10" t="str">
        <f>HYPERLINK("https://twitter.com/agubelu_bot/status/1065953166238408705","1065953166238408705")</f>
        <v>1065953166238408705</v>
      </c>
      <c r="F50" s="12"/>
      <c r="G50" s="12"/>
      <c r="H50" s="12"/>
      <c r="I50" s="13">
        <v>0</v>
      </c>
      <c r="J50" s="13">
        <v>0</v>
      </c>
      <c r="K50" s="14" t="str">
        <f>HYPERLINK("https://pqqqqw.pw","agubelu_bot")</f>
        <v>agubelu_bot</v>
      </c>
      <c r="L50" s="13">
        <v>77</v>
      </c>
      <c r="M50" s="13">
        <v>50</v>
      </c>
      <c r="N50" s="13">
        <v>0</v>
      </c>
      <c r="O50" s="15"/>
      <c r="P50" s="6">
        <v>42903.277696759258</v>
      </c>
      <c r="Q50" s="12"/>
      <c r="R50" s="16" t="s">
        <v>251</v>
      </c>
      <c r="S50" s="12"/>
      <c r="T50" s="12"/>
      <c r="U50" s="10" t="str">
        <f>HYPERLINK("https://pbs.twimg.com/profile_images/904090225940582403/5_Y63phD.jpg","View")</f>
        <v>View</v>
      </c>
    </row>
    <row r="51" spans="1:21" ht="40.799999999999997">
      <c r="A51" s="6">
        <v>43427.206458333334</v>
      </c>
      <c r="B51" s="7" t="str">
        <f>HYPERLINK("https://twitter.com/juliohinojo","@juliohinojo")</f>
        <v>@juliohinojo</v>
      </c>
      <c r="C51" s="8" t="s">
        <v>255</v>
      </c>
      <c r="D51" s="9" t="s">
        <v>256</v>
      </c>
      <c r="E51" s="10" t="str">
        <f>HYPERLINK("https://twitter.com/juliohinojo/status/1065952428464513024","1065952428464513024")</f>
        <v>1065952428464513024</v>
      </c>
      <c r="F51" s="11" t="s">
        <v>42</v>
      </c>
      <c r="G51" s="12"/>
      <c r="H51" s="12"/>
      <c r="I51" s="13">
        <v>0</v>
      </c>
      <c r="J51" s="13">
        <v>0</v>
      </c>
      <c r="K51" s="14" t="str">
        <f>HYPERLINK("http://www.facebook.com/twitter","Facebook")</f>
        <v>Facebook</v>
      </c>
      <c r="L51" s="13">
        <v>278</v>
      </c>
      <c r="M51" s="13">
        <v>278</v>
      </c>
      <c r="N51" s="13">
        <v>0</v>
      </c>
      <c r="O51" s="15"/>
      <c r="P51" s="6">
        <v>39186.060752314814</v>
      </c>
      <c r="Q51" s="17" t="s">
        <v>257</v>
      </c>
      <c r="R51" s="16" t="s">
        <v>258</v>
      </c>
      <c r="S51" s="11" t="s">
        <v>259</v>
      </c>
      <c r="T51" s="12"/>
      <c r="U51" s="10" t="str">
        <f>HYPERLINK("https://pbs.twimg.com/profile_images/1889284022/juliohinojo_small.jpg","View")</f>
        <v>View</v>
      </c>
    </row>
    <row r="52" spans="1:21" ht="40.799999999999997">
      <c r="A52" s="6">
        <v>43427.206053240741</v>
      </c>
      <c r="B52" s="7" t="str">
        <f>HYPERLINK("https://twitter.com/Vladimir693","@Vladimir693")</f>
        <v>@Vladimir693</v>
      </c>
      <c r="C52" s="8" t="s">
        <v>260</v>
      </c>
      <c r="D52" s="9" t="s">
        <v>261</v>
      </c>
      <c r="E52" s="10" t="str">
        <f>HYPERLINK("https://twitter.com/Vladimir693/status/1065952281978421253","1065952281978421253")</f>
        <v>1065952281978421253</v>
      </c>
      <c r="F52" s="12"/>
      <c r="G52" s="12"/>
      <c r="H52" s="12"/>
      <c r="I52" s="13">
        <v>0</v>
      </c>
      <c r="J52" s="13">
        <v>0</v>
      </c>
      <c r="K52" s="14" t="str">
        <f>HYPERLINK("http://twitter.com/download/android","Twitter for Android")</f>
        <v>Twitter for Android</v>
      </c>
      <c r="L52" s="13">
        <v>1241</v>
      </c>
      <c r="M52" s="13">
        <v>821</v>
      </c>
      <c r="N52" s="13">
        <v>34</v>
      </c>
      <c r="O52" s="15"/>
      <c r="P52" s="6">
        <v>40205.112025462964</v>
      </c>
      <c r="Q52" s="17" t="s">
        <v>262</v>
      </c>
      <c r="R52" s="16" t="s">
        <v>263</v>
      </c>
      <c r="S52" s="12"/>
      <c r="T52" s="12"/>
      <c r="U52" s="10" t="str">
        <f>HYPERLINK("https://pbs.twimg.com/profile_images/819255410683183105/fDR6kYTK.jpg","View")</f>
        <v>View</v>
      </c>
    </row>
    <row r="53" spans="1:21" ht="30.6">
      <c r="A53" s="6">
        <v>43427.204409722224</v>
      </c>
      <c r="B53" s="7" t="str">
        <f>HYPERLINK("https://twitter.com/DapenaJ","@DapenaJ")</f>
        <v>@DapenaJ</v>
      </c>
      <c r="C53" s="8" t="s">
        <v>265</v>
      </c>
      <c r="D53" s="9" t="s">
        <v>266</v>
      </c>
      <c r="E53" s="10" t="str">
        <f>HYPERLINK("https://twitter.com/DapenaJ/status/1065951686387269632","1065951686387269632")</f>
        <v>1065951686387269632</v>
      </c>
      <c r="F53" s="11" t="s">
        <v>267</v>
      </c>
      <c r="G53" s="12"/>
      <c r="H53" s="12"/>
      <c r="I53" s="13">
        <v>0</v>
      </c>
      <c r="J53" s="13">
        <v>0</v>
      </c>
      <c r="K53" s="14" t="str">
        <f t="shared" ref="K53:K55" si="11">HYPERLINK("http://twitter.com","Twitter Web Client")</f>
        <v>Twitter Web Client</v>
      </c>
      <c r="L53" s="13">
        <v>95</v>
      </c>
      <c r="M53" s="13">
        <v>152</v>
      </c>
      <c r="N53" s="13">
        <v>0</v>
      </c>
      <c r="O53" s="15"/>
      <c r="P53" s="6">
        <v>41491.450138888889</v>
      </c>
      <c r="Q53" s="12"/>
      <c r="R53" s="18"/>
      <c r="S53" s="12"/>
      <c r="T53" s="12"/>
      <c r="U53" s="10" t="str">
        <f>HYPERLINK("https://pbs.twimg.com/profile_images/429956636422053888/3ZI4Vjvf.jpeg","View")</f>
        <v>View</v>
      </c>
    </row>
    <row r="54" spans="1:21" ht="40.799999999999997">
      <c r="A54" s="6">
        <v>43427.20349537037</v>
      </c>
      <c r="B54" s="7" t="str">
        <f>HYPERLINK("https://twitter.com/ines_calderon","@ines_calderon")</f>
        <v>@ines_calderon</v>
      </c>
      <c r="C54" s="8" t="s">
        <v>270</v>
      </c>
      <c r="D54" s="9" t="s">
        <v>271</v>
      </c>
      <c r="E54" s="10" t="str">
        <f>HYPERLINK("https://twitter.com/ines_calderon/status/1065951357797060609","1065951357797060609")</f>
        <v>1065951357797060609</v>
      </c>
      <c r="F54" s="12"/>
      <c r="G54" s="12"/>
      <c r="H54" s="12"/>
      <c r="I54" s="13">
        <v>0</v>
      </c>
      <c r="J54" s="13">
        <v>0</v>
      </c>
      <c r="K54" s="14" t="str">
        <f t="shared" si="11"/>
        <v>Twitter Web Client</v>
      </c>
      <c r="L54" s="13">
        <v>9806</v>
      </c>
      <c r="M54" s="13">
        <v>2391</v>
      </c>
      <c r="N54" s="13">
        <v>354</v>
      </c>
      <c r="O54" s="15"/>
      <c r="P54" s="6">
        <v>40669.399513888886</v>
      </c>
      <c r="Q54" s="17" t="s">
        <v>76</v>
      </c>
      <c r="R54" s="16" t="s">
        <v>272</v>
      </c>
      <c r="S54" s="11" t="s">
        <v>273</v>
      </c>
      <c r="T54" s="12"/>
      <c r="U54" s="10" t="str">
        <f>HYPERLINK("https://pbs.twimg.com/profile_images/437873221484822528/jvtbILvB.jpeg","View")</f>
        <v>View</v>
      </c>
    </row>
    <row r="55" spans="1:21" ht="30.6">
      <c r="A55" s="6">
        <v>43427.19902777778</v>
      </c>
      <c r="B55" s="7" t="str">
        <f>HYPERLINK("https://twitter.com/eleivaher","@eleivaher")</f>
        <v>@eleivaher</v>
      </c>
      <c r="C55" s="8" t="s">
        <v>274</v>
      </c>
      <c r="D55" s="9" t="s">
        <v>45</v>
      </c>
      <c r="E55" s="10" t="str">
        <f>HYPERLINK("https://twitter.com/eleivaher/status/1065949739106078721","1065949739106078721")</f>
        <v>1065949739106078721</v>
      </c>
      <c r="F55" s="11" t="s">
        <v>84</v>
      </c>
      <c r="G55" s="12"/>
      <c r="H55" s="12"/>
      <c r="I55" s="13">
        <v>0</v>
      </c>
      <c r="J55" s="13">
        <v>0</v>
      </c>
      <c r="K55" s="14" t="str">
        <f t="shared" si="11"/>
        <v>Twitter Web Client</v>
      </c>
      <c r="L55" s="13">
        <v>306</v>
      </c>
      <c r="M55" s="13">
        <v>251</v>
      </c>
      <c r="N55" s="13">
        <v>15</v>
      </c>
      <c r="O55" s="15"/>
      <c r="P55" s="6">
        <v>41720.217349537037</v>
      </c>
      <c r="Q55" s="17" t="s">
        <v>276</v>
      </c>
      <c r="R55" s="16" t="s">
        <v>277</v>
      </c>
      <c r="S55" s="11" t="s">
        <v>278</v>
      </c>
      <c r="T55" s="12"/>
      <c r="U55" s="10" t="str">
        <f>HYPERLINK("https://pbs.twimg.com/profile_images/447820440526790656/S9fLaAGE.jpeg","View")</f>
        <v>View</v>
      </c>
    </row>
    <row r="56" spans="1:21" ht="40.799999999999997">
      <c r="A56" s="6">
        <v>43427.197071759263</v>
      </c>
      <c r="B56" s="7" t="str">
        <f>HYPERLINK("https://twitter.com/Mercg","@Mercg")</f>
        <v>@Mercg</v>
      </c>
      <c r="C56" s="8" t="s">
        <v>279</v>
      </c>
      <c r="D56" s="9" t="s">
        <v>280</v>
      </c>
      <c r="E56" s="10" t="str">
        <f>HYPERLINK("https://twitter.com/Mercg/status/1065949030197399553","1065949030197399553")</f>
        <v>1065949030197399553</v>
      </c>
      <c r="F56" s="12"/>
      <c r="G56" s="12"/>
      <c r="H56" s="12"/>
      <c r="I56" s="13">
        <v>0</v>
      </c>
      <c r="J56" s="13">
        <v>0</v>
      </c>
      <c r="K56" s="14" t="str">
        <f>HYPERLINK("http://twitter.com/download/iphone","Twitter for iPhone")</f>
        <v>Twitter for iPhone</v>
      </c>
      <c r="L56" s="13">
        <v>452</v>
      </c>
      <c r="M56" s="13">
        <v>273</v>
      </c>
      <c r="N56" s="13">
        <v>38</v>
      </c>
      <c r="O56" s="15"/>
      <c r="P56" s="6">
        <v>39952.483217592591</v>
      </c>
      <c r="Q56" s="17" t="s">
        <v>281</v>
      </c>
      <c r="R56" s="16" t="s">
        <v>282</v>
      </c>
      <c r="S56" s="12"/>
      <c r="T56" s="12"/>
      <c r="U56" s="10" t="str">
        <f>HYPERLINK("https://pbs.twimg.com/profile_images/1059634845083553792/w65nUTeN.jpg","View")</f>
        <v>View</v>
      </c>
    </row>
    <row r="57" spans="1:21" ht="40.799999999999997">
      <c r="A57" s="6">
        <v>43427.195925925931</v>
      </c>
      <c r="B57" s="7" t="str">
        <f>HYPERLINK("https://twitter.com/18921981","@18921981")</f>
        <v>@18921981</v>
      </c>
      <c r="C57" s="8" t="s">
        <v>283</v>
      </c>
      <c r="D57" s="9" t="s">
        <v>45</v>
      </c>
      <c r="E57" s="10" t="str">
        <f>HYPERLINK("https://twitter.com/18921981/status/1065948615494049793","1065948615494049793")</f>
        <v>1065948615494049793</v>
      </c>
      <c r="F57" s="11" t="s">
        <v>84</v>
      </c>
      <c r="G57" s="12"/>
      <c r="H57" s="12"/>
      <c r="I57" s="13">
        <v>0</v>
      </c>
      <c r="J57" s="13">
        <v>0</v>
      </c>
      <c r="K57" s="14" t="str">
        <f>HYPERLINK("http://twitter.com","Twitter Web Client")</f>
        <v>Twitter Web Client</v>
      </c>
      <c r="L57" s="13">
        <v>267</v>
      </c>
      <c r="M57" s="13">
        <v>194</v>
      </c>
      <c r="N57" s="13">
        <v>5</v>
      </c>
      <c r="O57" s="15"/>
      <c r="P57" s="6">
        <v>41345.453333333331</v>
      </c>
      <c r="Q57" s="12"/>
      <c r="R57" s="16" t="s">
        <v>284</v>
      </c>
      <c r="S57" s="12"/>
      <c r="T57" s="12"/>
      <c r="U57" s="10" t="str">
        <f>HYPERLINK("https://pbs.twimg.com/profile_images/872051643130556419/5PEVvB0_.jpg","View")</f>
        <v>View</v>
      </c>
    </row>
    <row r="58" spans="1:21" ht="40.799999999999997">
      <c r="A58" s="6">
        <v>43427.195833333331</v>
      </c>
      <c r="B58" s="7" t="str">
        <f>HYPERLINK("https://twitter.com/ctxt_es","@ctxt_es")</f>
        <v>@ctxt_es</v>
      </c>
      <c r="C58" s="8" t="s">
        <v>285</v>
      </c>
      <c r="D58" s="9" t="s">
        <v>286</v>
      </c>
      <c r="E58" s="10" t="str">
        <f>HYPERLINK("https://twitter.com/ctxt_es/status/1065948579531878400","1065948579531878400")</f>
        <v>1065948579531878400</v>
      </c>
      <c r="F58" s="11" t="s">
        <v>287</v>
      </c>
      <c r="G58" s="12"/>
      <c r="H58" s="12"/>
      <c r="I58" s="13">
        <v>1</v>
      </c>
      <c r="J58" s="13">
        <v>3</v>
      </c>
      <c r="K58" s="14" t="str">
        <f>HYPERLINK("https://about.twitter.com/products/tweetdeck","TweetDeck")</f>
        <v>TweetDeck</v>
      </c>
      <c r="L58" s="13">
        <v>112739</v>
      </c>
      <c r="M58" s="13">
        <v>4288</v>
      </c>
      <c r="N58" s="13">
        <v>2463</v>
      </c>
      <c r="O58" s="15"/>
      <c r="P58" s="6">
        <v>41981.199641203704</v>
      </c>
      <c r="Q58" s="17" t="s">
        <v>143</v>
      </c>
      <c r="R58" s="16" t="s">
        <v>288</v>
      </c>
      <c r="S58" s="11" t="s">
        <v>289</v>
      </c>
      <c r="T58" s="12"/>
      <c r="U58" s="10" t="str">
        <f>HYPERLINK("https://pbs.twimg.com/profile_images/1062014494296150023/j5taTHQ1.jpg","View")</f>
        <v>View</v>
      </c>
    </row>
    <row r="59" spans="1:21" ht="30.6">
      <c r="A59" s="6">
        <v>43427.195115740746</v>
      </c>
      <c r="B59" s="7" t="str">
        <f>HYPERLINK("https://twitter.com/yolstg","@yolstg")</f>
        <v>@yolstg</v>
      </c>
      <c r="C59" s="8" t="s">
        <v>290</v>
      </c>
      <c r="D59" s="9" t="s">
        <v>291</v>
      </c>
      <c r="E59" s="10" t="str">
        <f>HYPERLINK("https://twitter.com/yolstg/status/1065948318201729024","1065948318201729024")</f>
        <v>1065948318201729024</v>
      </c>
      <c r="F59" s="11" t="s">
        <v>292</v>
      </c>
      <c r="G59" s="12"/>
      <c r="H59" s="12"/>
      <c r="I59" s="13">
        <v>0</v>
      </c>
      <c r="J59" s="13">
        <v>0</v>
      </c>
      <c r="K59" s="14" t="str">
        <f t="shared" ref="K59:K60" si="12">HYPERLINK("http://twitter.com/download/android","Twitter for Android")</f>
        <v>Twitter for Android</v>
      </c>
      <c r="L59" s="13">
        <v>38</v>
      </c>
      <c r="M59" s="13">
        <v>126</v>
      </c>
      <c r="N59" s="13">
        <v>0</v>
      </c>
      <c r="O59" s="15"/>
      <c r="P59" s="6">
        <v>43007.296747685185</v>
      </c>
      <c r="Q59" s="12"/>
      <c r="R59" s="16" t="s">
        <v>293</v>
      </c>
      <c r="S59" s="12"/>
      <c r="T59" s="12"/>
      <c r="U59" s="10" t="str">
        <f>HYPERLINK("https://pbs.twimg.com/profile_images/914547249207824386/RYAv9Wsa.jpg","View")</f>
        <v>View</v>
      </c>
    </row>
    <row r="60" spans="1:21" ht="30.6">
      <c r="A60" s="6">
        <v>43427.192500000005</v>
      </c>
      <c r="B60" s="7" t="str">
        <f>HYPERLINK("https://twitter.com/Falditox","@Falditox")</f>
        <v>@Falditox</v>
      </c>
      <c r="C60" s="8" t="s">
        <v>294</v>
      </c>
      <c r="D60" s="9" t="s">
        <v>295</v>
      </c>
      <c r="E60" s="10" t="str">
        <f>HYPERLINK("https://twitter.com/Falditox/status/1065947370180001792","1065947370180001792")</f>
        <v>1065947370180001792</v>
      </c>
      <c r="F60" s="12"/>
      <c r="G60" s="12"/>
      <c r="H60" s="12"/>
      <c r="I60" s="13">
        <v>0</v>
      </c>
      <c r="J60" s="13">
        <v>0</v>
      </c>
      <c r="K60" s="14" t="str">
        <f t="shared" si="12"/>
        <v>Twitter for Android</v>
      </c>
      <c r="L60" s="13">
        <v>632</v>
      </c>
      <c r="M60" s="13">
        <v>803</v>
      </c>
      <c r="N60" s="13">
        <v>21</v>
      </c>
      <c r="O60" s="15"/>
      <c r="P60" s="6">
        <v>41725.245752314819</v>
      </c>
      <c r="Q60" s="17" t="s">
        <v>118</v>
      </c>
      <c r="R60" s="16" t="s">
        <v>296</v>
      </c>
      <c r="S60" s="12"/>
      <c r="T60" s="12"/>
      <c r="U60" s="10" t="str">
        <f>HYPERLINK("https://pbs.twimg.com/profile_images/974593911497863168/tk2JE66q.jpg","View")</f>
        <v>View</v>
      </c>
    </row>
    <row r="61" spans="1:21" ht="20.399999999999999">
      <c r="A61" s="6">
        <v>43427.19</v>
      </c>
      <c r="B61" s="7" t="str">
        <f>HYPERLINK("https://twitter.com/BobEstropajo","@BobEstropajo")</f>
        <v>@BobEstropajo</v>
      </c>
      <c r="C61" s="8" t="s">
        <v>297</v>
      </c>
      <c r="D61" s="9" t="s">
        <v>298</v>
      </c>
      <c r="E61" s="10" t="str">
        <f>HYPERLINK("https://twitter.com/BobEstropajo/status/1065946465397297152","1065946465397297152")</f>
        <v>1065946465397297152</v>
      </c>
      <c r="F61" s="12"/>
      <c r="G61" s="12"/>
      <c r="H61" s="12"/>
      <c r="I61" s="13">
        <v>12</v>
      </c>
      <c r="J61" s="13">
        <v>32</v>
      </c>
      <c r="K61" s="14" t="str">
        <f t="shared" ref="K61:K62" si="13">HYPERLINK("http://twitter.com","Twitter Web Client")</f>
        <v>Twitter Web Client</v>
      </c>
      <c r="L61" s="13">
        <v>86431</v>
      </c>
      <c r="M61" s="13">
        <v>4128</v>
      </c>
      <c r="N61" s="13">
        <v>770</v>
      </c>
      <c r="O61" s="15"/>
      <c r="P61" s="6">
        <v>41891.663900462961</v>
      </c>
      <c r="Q61" s="17" t="s">
        <v>299</v>
      </c>
      <c r="R61" s="16" t="s">
        <v>300</v>
      </c>
      <c r="S61" s="11" t="s">
        <v>301</v>
      </c>
      <c r="T61" s="12"/>
      <c r="U61" s="10" t="str">
        <f>HYPERLINK("https://pbs.twimg.com/profile_images/1059213646692315136/5KWHyXrN.jpg","View")</f>
        <v>View</v>
      </c>
    </row>
    <row r="62" spans="1:21" ht="40.799999999999997">
      <c r="A62" s="6">
        <v>43427.18986111111</v>
      </c>
      <c r="B62" s="7" t="str">
        <f>HYPERLINK("https://twitter.com/COAGAlmeria","@COAGAlmeria")</f>
        <v>@COAGAlmeria</v>
      </c>
      <c r="C62" s="8" t="s">
        <v>302</v>
      </c>
      <c r="D62" s="9" t="s">
        <v>303</v>
      </c>
      <c r="E62" s="10" t="str">
        <f>HYPERLINK("https://twitter.com/COAGAlmeria/status/1065946413996142593","1065946413996142593")</f>
        <v>1065946413996142593</v>
      </c>
      <c r="F62" s="12"/>
      <c r="G62" s="11" t="s">
        <v>304</v>
      </c>
      <c r="H62" s="12"/>
      <c r="I62" s="13">
        <v>2</v>
      </c>
      <c r="J62" s="13">
        <v>2</v>
      </c>
      <c r="K62" s="14" t="str">
        <f t="shared" si="13"/>
        <v>Twitter Web Client</v>
      </c>
      <c r="L62" s="13">
        <v>2636</v>
      </c>
      <c r="M62" s="13">
        <v>362</v>
      </c>
      <c r="N62" s="13">
        <v>71</v>
      </c>
      <c r="O62" s="15"/>
      <c r="P62" s="6">
        <v>40596.394699074073</v>
      </c>
      <c r="Q62" s="17" t="s">
        <v>305</v>
      </c>
      <c r="R62" s="16" t="s">
        <v>306</v>
      </c>
      <c r="S62" s="11" t="s">
        <v>307</v>
      </c>
      <c r="T62" s="12"/>
      <c r="U62" s="10" t="str">
        <f>HYPERLINK("https://pbs.twimg.com/profile_images/2721305871/b5cf7973793033cd1a0da5b20dc86fa8.png","View")</f>
        <v>View</v>
      </c>
    </row>
    <row r="63" spans="1:21" ht="40.799999999999997">
      <c r="A63" s="6">
        <v>43427.1872337963</v>
      </c>
      <c r="B63" s="7" t="str">
        <f>HYPERLINK("https://twitter.com/diazyzabala","@diazyzabala")</f>
        <v>@diazyzabala</v>
      </c>
      <c r="C63" s="8" t="s">
        <v>308</v>
      </c>
      <c r="D63" s="9" t="s">
        <v>116</v>
      </c>
      <c r="E63" s="10" t="str">
        <f>HYPERLINK("https://twitter.com/diazyzabala/status/1065945461733888000","1065945461733888000")</f>
        <v>1065945461733888000</v>
      </c>
      <c r="F63" s="11" t="s">
        <v>166</v>
      </c>
      <c r="G63" s="12"/>
      <c r="H63" s="12"/>
      <c r="I63" s="13">
        <v>0</v>
      </c>
      <c r="J63" s="13">
        <v>0</v>
      </c>
      <c r="K63" s="14" t="str">
        <f>HYPERLINK("http://www.facebook.com/twitter","Facebook")</f>
        <v>Facebook</v>
      </c>
      <c r="L63" s="13">
        <v>176</v>
      </c>
      <c r="M63" s="13">
        <v>673</v>
      </c>
      <c r="N63" s="13">
        <v>18</v>
      </c>
      <c r="O63" s="15"/>
      <c r="P63" s="6">
        <v>40596.061967592592</v>
      </c>
      <c r="Q63" s="17" t="s">
        <v>160</v>
      </c>
      <c r="R63" s="16" t="s">
        <v>309</v>
      </c>
      <c r="S63" s="12"/>
      <c r="T63" s="12"/>
      <c r="U63" s="10" t="str">
        <f>HYPERLINK("https://pbs.twimg.com/profile_images/980572735670771714/JIOL71Oa.jpg","View")</f>
        <v>View</v>
      </c>
    </row>
    <row r="64" spans="1:21" ht="30.6">
      <c r="A64" s="6">
        <v>43427.186273148152</v>
      </c>
      <c r="B64" s="7" t="str">
        <f>HYPERLINK("https://twitter.com/angsimpa","@angsimpa")</f>
        <v>@angsimpa</v>
      </c>
      <c r="C64" s="8" t="s">
        <v>310</v>
      </c>
      <c r="D64" s="9" t="s">
        <v>266</v>
      </c>
      <c r="E64" s="10" t="str">
        <f>HYPERLINK("https://twitter.com/angsimpa/status/1065945116987265024","1065945116987265024")</f>
        <v>1065945116987265024</v>
      </c>
      <c r="F64" s="11" t="s">
        <v>267</v>
      </c>
      <c r="G64" s="12"/>
      <c r="H64" s="12"/>
      <c r="I64" s="13">
        <v>0</v>
      </c>
      <c r="J64" s="13">
        <v>0</v>
      </c>
      <c r="K64" s="14" t="str">
        <f>HYPERLINK("http://twitter.com","Twitter Web Client")</f>
        <v>Twitter Web Client</v>
      </c>
      <c r="L64" s="13">
        <v>4292</v>
      </c>
      <c r="M64" s="13">
        <v>3984</v>
      </c>
      <c r="N64" s="13">
        <v>171</v>
      </c>
      <c r="O64" s="15"/>
      <c r="P64" s="6">
        <v>40550.661354166667</v>
      </c>
      <c r="Q64" s="12"/>
      <c r="R64" s="16" t="s">
        <v>311</v>
      </c>
      <c r="S64" s="12"/>
      <c r="T64" s="12"/>
      <c r="U64" s="10" t="str">
        <f>HYPERLINK("https://pbs.twimg.com/profile_images/1021373803350450177/YdPasB9Q.jpg","View")</f>
        <v>View</v>
      </c>
    </row>
    <row r="65" spans="1:21" ht="20.399999999999999">
      <c r="A65" s="6">
        <v>43427.185937499999</v>
      </c>
      <c r="B65" s="7" t="str">
        <f>HYPERLINK("https://twitter.com/JulioGanguita","@JulioGanguita")</f>
        <v>@JulioGanguita</v>
      </c>
      <c r="C65" s="8" t="s">
        <v>313</v>
      </c>
      <c r="D65" s="9" t="s">
        <v>233</v>
      </c>
      <c r="E65" s="10" t="str">
        <f>HYPERLINK("https://twitter.com/JulioGanguita/status/1065944994823970816","1065944994823970816")</f>
        <v>1065944994823970816</v>
      </c>
      <c r="F65" s="11" t="s">
        <v>55</v>
      </c>
      <c r="G65" s="12"/>
      <c r="H65" s="12"/>
      <c r="I65" s="13">
        <v>0</v>
      </c>
      <c r="J65" s="13">
        <v>0</v>
      </c>
      <c r="K65" s="14" t="str">
        <f>HYPERLINK("https://ifttt.com","IFTTT")</f>
        <v>IFTTT</v>
      </c>
      <c r="L65" s="13">
        <v>970</v>
      </c>
      <c r="M65" s="13">
        <v>1608</v>
      </c>
      <c r="N65" s="13">
        <v>3</v>
      </c>
      <c r="O65" s="15"/>
      <c r="P65" s="6">
        <v>41982.168564814812</v>
      </c>
      <c r="Q65" s="17" t="s">
        <v>46</v>
      </c>
      <c r="R65" s="16" t="s">
        <v>314</v>
      </c>
      <c r="S65" s="12"/>
      <c r="T65" s="12"/>
      <c r="U65" s="10" t="str">
        <f>HYPERLINK("https://pbs.twimg.com/profile_images/859057418386497536/1I406mDG.jpg","View")</f>
        <v>View</v>
      </c>
    </row>
    <row r="66" spans="1:21" ht="20.399999999999999">
      <c r="A66" s="6">
        <v>43427.18482638889</v>
      </c>
      <c r="B66" s="7" t="str">
        <f>HYPERLINK("https://twitter.com/sala_ferran","@sala_ferran")</f>
        <v>@sala_ferran</v>
      </c>
      <c r="C66" s="8" t="s">
        <v>315</v>
      </c>
      <c r="D66" s="9" t="s">
        <v>316</v>
      </c>
      <c r="E66" s="10" t="str">
        <f>HYPERLINK("https://twitter.com/sala_ferran/status/1065944591998873600","1065944591998873600")</f>
        <v>1065944591998873600</v>
      </c>
      <c r="F66" s="11" t="s">
        <v>319</v>
      </c>
      <c r="G66" s="12"/>
      <c r="H66" s="12"/>
      <c r="I66" s="13">
        <v>0</v>
      </c>
      <c r="J66" s="13">
        <v>0</v>
      </c>
      <c r="K66" s="14" t="str">
        <f t="shared" ref="K66:K67" si="14">HYPERLINK("http://twitter.com","Twitter Web Client")</f>
        <v>Twitter Web Client</v>
      </c>
      <c r="L66" s="13">
        <v>94</v>
      </c>
      <c r="M66" s="13">
        <v>397</v>
      </c>
      <c r="N66" s="13">
        <v>1</v>
      </c>
      <c r="O66" s="15"/>
      <c r="P66" s="6">
        <v>41710.196261574078</v>
      </c>
      <c r="Q66" s="17" t="s">
        <v>321</v>
      </c>
      <c r="R66" s="16" t="s">
        <v>322</v>
      </c>
      <c r="S66" s="11" t="s">
        <v>323</v>
      </c>
      <c r="T66" s="12"/>
      <c r="U66" s="10" t="str">
        <f>HYPERLINK("https://pbs.twimg.com/profile_images/925043712211726336/iwPkcxBz.jpg","View")</f>
        <v>View</v>
      </c>
    </row>
    <row r="67" spans="1:21" ht="30.6">
      <c r="A67" s="6">
        <v>43427.184467592597</v>
      </c>
      <c r="B67" s="7" t="str">
        <f>HYPERLINK("https://twitter.com/Angel9Rocio","@Angel9Rocio")</f>
        <v>@Angel9Rocio</v>
      </c>
      <c r="C67" s="8" t="s">
        <v>327</v>
      </c>
      <c r="D67" s="9" t="s">
        <v>45</v>
      </c>
      <c r="E67" s="10" t="str">
        <f>HYPERLINK("https://twitter.com/Angel9Rocio/status/1065944462654930944","1065944462654930944")</f>
        <v>1065944462654930944</v>
      </c>
      <c r="F67" s="11" t="s">
        <v>84</v>
      </c>
      <c r="G67" s="12"/>
      <c r="H67" s="12"/>
      <c r="I67" s="13">
        <v>0</v>
      </c>
      <c r="J67" s="13">
        <v>0</v>
      </c>
      <c r="K67" s="14" t="str">
        <f t="shared" si="14"/>
        <v>Twitter Web Client</v>
      </c>
      <c r="L67" s="13">
        <v>52</v>
      </c>
      <c r="M67" s="13">
        <v>219</v>
      </c>
      <c r="N67" s="13">
        <v>2</v>
      </c>
      <c r="O67" s="15"/>
      <c r="P67" s="6">
        <v>41192.688807870371</v>
      </c>
      <c r="Q67" s="17" t="s">
        <v>328</v>
      </c>
      <c r="R67" s="16" t="s">
        <v>329</v>
      </c>
      <c r="S67" s="12"/>
      <c r="T67" s="12"/>
      <c r="U67" s="10" t="str">
        <f>HYPERLINK("https://pbs.twimg.com/profile_images/2708530037/905b8a581d56300fbe08275728f2749d.jpeg","View")</f>
        <v>View</v>
      </c>
    </row>
    <row r="68" spans="1:21" ht="30.6">
      <c r="A68" s="6">
        <v>43427.184131944443</v>
      </c>
      <c r="B68" s="7" t="str">
        <f>HYPERLINK("https://twitter.com/aquilavida","@aquilavida")</f>
        <v>@aquilavida</v>
      </c>
      <c r="C68" s="8" t="s">
        <v>330</v>
      </c>
      <c r="D68" s="9" t="s">
        <v>331</v>
      </c>
      <c r="E68" s="10" t="str">
        <f>HYPERLINK("https://twitter.com/aquilavida/status/1065944339631591425","1065944339631591425")</f>
        <v>1065944339631591425</v>
      </c>
      <c r="F68" s="11" t="s">
        <v>332</v>
      </c>
      <c r="G68" s="12"/>
      <c r="H68" s="12"/>
      <c r="I68" s="13">
        <v>0</v>
      </c>
      <c r="J68" s="13">
        <v>0</v>
      </c>
      <c r="K68" s="14" t="str">
        <f>HYPERLINK("https://ifttt.com","IFTTT")</f>
        <v>IFTTT</v>
      </c>
      <c r="L68" s="13">
        <v>240</v>
      </c>
      <c r="M68" s="13">
        <v>233</v>
      </c>
      <c r="N68" s="13">
        <v>55</v>
      </c>
      <c r="O68" s="15"/>
      <c r="P68" s="6">
        <v>40665.323576388888</v>
      </c>
      <c r="Q68" s="17" t="s">
        <v>76</v>
      </c>
      <c r="R68" s="16" t="s">
        <v>333</v>
      </c>
      <c r="S68" s="12"/>
      <c r="T68" s="12"/>
      <c r="U68" s="10" t="str">
        <f>HYPERLINK("https://pbs.twimg.com/profile_images/1658515048/image.jpg","View")</f>
        <v>View</v>
      </c>
    </row>
    <row r="69" spans="1:21" ht="20.399999999999999">
      <c r="A69" s="6">
        <v>43427.183807870373</v>
      </c>
      <c r="B69" s="7" t="str">
        <f>HYPERLINK("https://twitter.com/sala_ferran","@sala_ferran")</f>
        <v>@sala_ferran</v>
      </c>
      <c r="C69" s="8" t="s">
        <v>315</v>
      </c>
      <c r="D69" s="9" t="s">
        <v>334</v>
      </c>
      <c r="E69" s="10" t="str">
        <f>HYPERLINK("https://twitter.com/sala_ferran/status/1065944220391927808","1065944220391927808")</f>
        <v>1065944220391927808</v>
      </c>
      <c r="F69" s="11" t="s">
        <v>335</v>
      </c>
      <c r="G69" s="12"/>
      <c r="H69" s="12"/>
      <c r="I69" s="13">
        <v>0</v>
      </c>
      <c r="J69" s="13">
        <v>0</v>
      </c>
      <c r="K69" s="14" t="str">
        <f t="shared" ref="K69:K71" si="15">HYPERLINK("http://twitter.com","Twitter Web Client")</f>
        <v>Twitter Web Client</v>
      </c>
      <c r="L69" s="13">
        <v>94</v>
      </c>
      <c r="M69" s="13">
        <v>397</v>
      </c>
      <c r="N69" s="13">
        <v>1</v>
      </c>
      <c r="O69" s="15"/>
      <c r="P69" s="6">
        <v>41710.196261574078</v>
      </c>
      <c r="Q69" s="17" t="s">
        <v>321</v>
      </c>
      <c r="R69" s="16" t="s">
        <v>322</v>
      </c>
      <c r="S69" s="11" t="s">
        <v>323</v>
      </c>
      <c r="T69" s="12"/>
      <c r="U69" s="10" t="str">
        <f>HYPERLINK("https://pbs.twimg.com/profile_images/925043712211726336/iwPkcxBz.jpg","View")</f>
        <v>View</v>
      </c>
    </row>
    <row r="70" spans="1:21" ht="40.799999999999997">
      <c r="A70" s="6">
        <v>43427.181909722218</v>
      </c>
      <c r="B70" s="7" t="str">
        <f>HYPERLINK("https://twitter.com/APODECLPGC","@APODECLPGC")</f>
        <v>@APODECLPGC</v>
      </c>
      <c r="C70" s="8" t="s">
        <v>337</v>
      </c>
      <c r="D70" s="9" t="s">
        <v>339</v>
      </c>
      <c r="E70" s="10" t="str">
        <f>HYPERLINK("https://twitter.com/APODECLPGC/status/1065943536175116288","1065943536175116288")</f>
        <v>1065943536175116288</v>
      </c>
      <c r="F70" s="11" t="s">
        <v>267</v>
      </c>
      <c r="G70" s="12"/>
      <c r="H70" s="12"/>
      <c r="I70" s="13">
        <v>0</v>
      </c>
      <c r="J70" s="13">
        <v>0</v>
      </c>
      <c r="K70" s="14" t="str">
        <f t="shared" si="15"/>
        <v>Twitter Web Client</v>
      </c>
      <c r="L70" s="13">
        <v>1197</v>
      </c>
      <c r="M70" s="13">
        <v>1046</v>
      </c>
      <c r="N70" s="13">
        <v>15</v>
      </c>
      <c r="O70" s="15"/>
      <c r="P70" s="6">
        <v>41587.413506944446</v>
      </c>
      <c r="Q70" s="17" t="s">
        <v>341</v>
      </c>
      <c r="R70" s="16" t="s">
        <v>342</v>
      </c>
      <c r="S70" s="11" t="s">
        <v>343</v>
      </c>
      <c r="T70" s="12"/>
      <c r="U70" s="10" t="str">
        <f>HYPERLINK("https://pbs.twimg.com/profile_images/436068020419440640/qt15JpnJ.jpeg","View")</f>
        <v>View</v>
      </c>
    </row>
    <row r="71" spans="1:21" ht="51">
      <c r="A71" s="6">
        <v>43427.180821759262</v>
      </c>
      <c r="B71" s="7" t="str">
        <f>HYPERLINK("https://twitter.com/PP_Almeria","@PP_Almeria")</f>
        <v>@PP_Almeria</v>
      </c>
      <c r="C71" s="8" t="s">
        <v>71</v>
      </c>
      <c r="D71" s="9" t="s">
        <v>344</v>
      </c>
      <c r="E71" s="10" t="str">
        <f>HYPERLINK("https://twitter.com/PP_Almeria/status/1065943140467687426","1065943140467687426")</f>
        <v>1065943140467687426</v>
      </c>
      <c r="F71" s="12"/>
      <c r="G71" s="11" t="s">
        <v>345</v>
      </c>
      <c r="H71" s="12"/>
      <c r="I71" s="13">
        <v>13</v>
      </c>
      <c r="J71" s="13">
        <v>19</v>
      </c>
      <c r="K71" s="14" t="str">
        <f t="shared" si="15"/>
        <v>Twitter Web Client</v>
      </c>
      <c r="L71" s="13">
        <v>3627</v>
      </c>
      <c r="M71" s="13">
        <v>1168</v>
      </c>
      <c r="N71" s="13">
        <v>58</v>
      </c>
      <c r="O71" s="19" t="s">
        <v>74</v>
      </c>
      <c r="P71" s="6">
        <v>40812.461759259255</v>
      </c>
      <c r="Q71" s="17" t="s">
        <v>77</v>
      </c>
      <c r="R71" s="16" t="s">
        <v>78</v>
      </c>
      <c r="S71" s="11" t="s">
        <v>79</v>
      </c>
      <c r="T71" s="12"/>
      <c r="U71" s="10" t="str">
        <f>HYPERLINK("https://pbs.twimg.com/profile_images/1062018564582989824/MCUmsEqO.jpg","View")</f>
        <v>View</v>
      </c>
    </row>
    <row r="72" spans="1:21" ht="30.6">
      <c r="A72" s="6">
        <v>43427.179490740746</v>
      </c>
      <c r="B72" s="7" t="str">
        <f>HYPERLINK("https://twitter.com/nngg_salamanca","@nngg_salamanca")</f>
        <v>@nngg_salamanca</v>
      </c>
      <c r="C72" s="8" t="s">
        <v>346</v>
      </c>
      <c r="D72" s="9" t="s">
        <v>347</v>
      </c>
      <c r="E72" s="10" t="str">
        <f>HYPERLINK("https://twitter.com/nngg_salamanca/status/1065942657195741184","1065942657195741184")</f>
        <v>1065942657195741184</v>
      </c>
      <c r="F72" s="11" t="s">
        <v>348</v>
      </c>
      <c r="G72" s="12"/>
      <c r="H72" s="12"/>
      <c r="I72" s="13">
        <v>0</v>
      </c>
      <c r="J72" s="13">
        <v>0</v>
      </c>
      <c r="K72" s="14" t="str">
        <f>HYPERLINK("http://twitter.com/download/iphone","Twitter for iPhone")</f>
        <v>Twitter for iPhone</v>
      </c>
      <c r="L72" s="13">
        <v>2660</v>
      </c>
      <c r="M72" s="13">
        <v>468</v>
      </c>
      <c r="N72" s="13">
        <v>38</v>
      </c>
      <c r="O72" s="15"/>
      <c r="P72" s="6">
        <v>40215.650567129633</v>
      </c>
      <c r="Q72" s="17" t="s">
        <v>349</v>
      </c>
      <c r="R72" s="16" t="s">
        <v>350</v>
      </c>
      <c r="S72" s="11" t="s">
        <v>351</v>
      </c>
      <c r="T72" s="12"/>
      <c r="U72" s="10" t="str">
        <f>HYPERLINK("https://pbs.twimg.com/profile_images/1053958786354999296/pe3ZEtd2.jpg","View")</f>
        <v>View</v>
      </c>
    </row>
    <row r="73" spans="1:21" ht="30.6">
      <c r="A73" s="6">
        <v>43427.171944444446</v>
      </c>
      <c r="B73" s="7" t="str">
        <f>HYPERLINK("https://twitter.com/nipesdexi","@nipesdexi")</f>
        <v>@nipesdexi</v>
      </c>
      <c r="C73" s="8" t="s">
        <v>352</v>
      </c>
      <c r="D73" s="9" t="s">
        <v>45</v>
      </c>
      <c r="E73" s="10" t="str">
        <f>HYPERLINK("https://twitter.com/nipesdexi/status/1065939921171636225","1065939921171636225")</f>
        <v>1065939921171636225</v>
      </c>
      <c r="F73" s="11" t="s">
        <v>84</v>
      </c>
      <c r="G73" s="12"/>
      <c r="H73" s="12"/>
      <c r="I73" s="13">
        <v>0</v>
      </c>
      <c r="J73" s="13">
        <v>0</v>
      </c>
      <c r="K73" s="14" t="str">
        <f t="shared" ref="K73:K74" si="16">HYPERLINK("http://twitter.com","Twitter Web Client")</f>
        <v>Twitter Web Client</v>
      </c>
      <c r="L73" s="13">
        <v>1110</v>
      </c>
      <c r="M73" s="13">
        <v>2018</v>
      </c>
      <c r="N73" s="13">
        <v>25</v>
      </c>
      <c r="O73" s="15"/>
      <c r="P73" s="6">
        <v>40572.341898148152</v>
      </c>
      <c r="Q73" s="12"/>
      <c r="R73" s="18"/>
      <c r="S73" s="12"/>
      <c r="T73" s="12"/>
      <c r="U73" s="10" t="str">
        <f>HYPERLINK("https://pbs.twimg.com/profile_images/1229117520/IMG_0069cn.jpg","View")</f>
        <v>View</v>
      </c>
    </row>
    <row r="74" spans="1:21" ht="30.6">
      <c r="A74" s="6">
        <v>43427.171759259261</v>
      </c>
      <c r="B74" s="7" t="str">
        <f>HYPERLINK("https://twitter.com/pablo_casado","@pablo_casado")</f>
        <v>@pablo_casado</v>
      </c>
      <c r="C74" s="8" t="s">
        <v>353</v>
      </c>
      <c r="D74" s="9" t="s">
        <v>354</v>
      </c>
      <c r="E74" s="10" t="str">
        <f>HYPERLINK("https://twitter.com/pablo_casado/status/1065939857481060353","1065939857481060353")</f>
        <v>1065939857481060353</v>
      </c>
      <c r="F74" s="11" t="s">
        <v>355</v>
      </c>
      <c r="G74" s="12"/>
      <c r="H74" s="12"/>
      <c r="I74" s="13">
        <v>0</v>
      </c>
      <c r="J74" s="13">
        <v>1</v>
      </c>
      <c r="K74" s="14" t="str">
        <f t="shared" si="16"/>
        <v>Twitter Web Client</v>
      </c>
      <c r="L74" s="13">
        <v>798</v>
      </c>
      <c r="M74" s="13">
        <v>1165</v>
      </c>
      <c r="N74" s="13">
        <v>16</v>
      </c>
      <c r="O74" s="15"/>
      <c r="P74" s="6">
        <v>40631.269189814819</v>
      </c>
      <c r="Q74" s="17" t="s">
        <v>356</v>
      </c>
      <c r="R74" s="16" t="s">
        <v>357</v>
      </c>
      <c r="S74" s="11" t="s">
        <v>358</v>
      </c>
      <c r="T74" s="12"/>
      <c r="U74" s="10" t="str">
        <f>HYPERLINK("https://pbs.twimg.com/profile_images/960372546393837569/o7y23nco.jpg","View")</f>
        <v>View</v>
      </c>
    </row>
    <row r="75" spans="1:21" ht="51">
      <c r="A75" s="6">
        <v>43427.171041666668</v>
      </c>
      <c r="B75" s="7" t="str">
        <f>HYPERLINK("https://twitter.com/Pascual10A","@Pascual10A")</f>
        <v>@Pascual10A</v>
      </c>
      <c r="C75" s="8" t="s">
        <v>359</v>
      </c>
      <c r="D75" s="9" t="s">
        <v>360</v>
      </c>
      <c r="E75" s="10" t="str">
        <f>HYPERLINK("https://twitter.com/Pascual10A/status/1065939594259116032","1065939594259116032")</f>
        <v>1065939594259116032</v>
      </c>
      <c r="F75" s="11" t="s">
        <v>361</v>
      </c>
      <c r="G75" s="12"/>
      <c r="H75" s="12"/>
      <c r="I75" s="13">
        <v>30</v>
      </c>
      <c r="J75" s="13">
        <v>32</v>
      </c>
      <c r="K75" s="14" t="str">
        <f t="shared" ref="K75:K77" si="17">HYPERLINK("http://twitter.com/download/android","Twitter for Android")</f>
        <v>Twitter for Android</v>
      </c>
      <c r="L75" s="13">
        <v>6324</v>
      </c>
      <c r="M75" s="13">
        <v>4993</v>
      </c>
      <c r="N75" s="13">
        <v>42</v>
      </c>
      <c r="O75" s="15"/>
      <c r="P75" s="6">
        <v>42002.162800925929</v>
      </c>
      <c r="Q75" s="12"/>
      <c r="R75" s="16" t="s">
        <v>362</v>
      </c>
      <c r="S75" s="12"/>
      <c r="T75" s="12"/>
      <c r="U75" s="10" t="str">
        <f>HYPERLINK("https://pbs.twimg.com/profile_images/1009852379716562947/-ASQb_af.jpg","View")</f>
        <v>View</v>
      </c>
    </row>
    <row r="76" spans="1:21" ht="71.400000000000006">
      <c r="A76" s="6">
        <v>43427.170023148152</v>
      </c>
      <c r="B76" s="7" t="str">
        <f>HYPERLINK("https://twitter.com/CeldranNavarro","@CeldranNavarro")</f>
        <v>@CeldranNavarro</v>
      </c>
      <c r="C76" s="8" t="s">
        <v>363</v>
      </c>
      <c r="D76" s="9" t="s">
        <v>364</v>
      </c>
      <c r="E76" s="10" t="str">
        <f>HYPERLINK("https://twitter.com/CeldranNavarro/status/1065939227190403072","1065939227190403072")</f>
        <v>1065939227190403072</v>
      </c>
      <c r="F76" s="17" t="s">
        <v>365</v>
      </c>
      <c r="G76" s="12"/>
      <c r="H76" s="12"/>
      <c r="I76" s="13">
        <v>0</v>
      </c>
      <c r="J76" s="13">
        <v>0</v>
      </c>
      <c r="K76" s="14" t="str">
        <f t="shared" si="17"/>
        <v>Twitter for Android</v>
      </c>
      <c r="L76" s="13">
        <v>34</v>
      </c>
      <c r="M76" s="13">
        <v>173</v>
      </c>
      <c r="N76" s="13">
        <v>0</v>
      </c>
      <c r="O76" s="15"/>
      <c r="P76" s="6">
        <v>43013.072962962964</v>
      </c>
      <c r="Q76" s="12"/>
      <c r="R76" s="16" t="s">
        <v>366</v>
      </c>
      <c r="S76" s="12"/>
      <c r="T76" s="12"/>
      <c r="U76" s="10" t="str">
        <f>HYPERLINK("https://pbs.twimg.com/profile_images/994485732499738624/18uEn5p5.jpg","View")</f>
        <v>View</v>
      </c>
    </row>
    <row r="77" spans="1:21" ht="30.6">
      <c r="A77" s="6">
        <v>43427.16978009259</v>
      </c>
      <c r="B77" s="7" t="str">
        <f>HYPERLINK("https://twitter.com/malacate09","@malacate09")</f>
        <v>@malacate09</v>
      </c>
      <c r="C77" s="8" t="s">
        <v>367</v>
      </c>
      <c r="D77" s="9" t="s">
        <v>45</v>
      </c>
      <c r="E77" s="10" t="str">
        <f>HYPERLINK("https://twitter.com/malacate09/status/1065939139516907520","1065939139516907520")</f>
        <v>1065939139516907520</v>
      </c>
      <c r="F77" s="11" t="s">
        <v>47</v>
      </c>
      <c r="G77" s="12"/>
      <c r="H77" s="12"/>
      <c r="I77" s="13">
        <v>0</v>
      </c>
      <c r="J77" s="13">
        <v>0</v>
      </c>
      <c r="K77" s="14" t="str">
        <f t="shared" si="17"/>
        <v>Twitter for Android</v>
      </c>
      <c r="L77" s="13">
        <v>1631</v>
      </c>
      <c r="M77" s="13">
        <v>2347</v>
      </c>
      <c r="N77" s="13">
        <v>49</v>
      </c>
      <c r="O77" s="15"/>
      <c r="P77" s="6">
        <v>41682.260833333334</v>
      </c>
      <c r="Q77" s="12"/>
      <c r="R77" s="16" t="s">
        <v>369</v>
      </c>
      <c r="S77" s="12"/>
      <c r="T77" s="12"/>
      <c r="U77" s="10" t="str">
        <f>HYPERLINK("https://pbs.twimg.com/profile_images/433629675320262656/G-JZDr02.jpeg","View")</f>
        <v>View</v>
      </c>
    </row>
    <row r="78" spans="1:21" ht="40.799999999999997">
      <c r="A78" s="6">
        <v>43427.169386574074</v>
      </c>
      <c r="B78" s="7" t="str">
        <f>HYPERLINK("https://twitter.com/ramonlobo","@ramonlobo")</f>
        <v>@ramonlobo</v>
      </c>
      <c r="C78" s="8" t="s">
        <v>370</v>
      </c>
      <c r="D78" s="9" t="s">
        <v>371</v>
      </c>
      <c r="E78" s="10" t="str">
        <f>HYPERLINK("https://twitter.com/ramonlobo/status/1065938995790663686","1065938995790663686")</f>
        <v>1065938995790663686</v>
      </c>
      <c r="F78" s="11" t="s">
        <v>84</v>
      </c>
      <c r="G78" s="12"/>
      <c r="H78" s="12"/>
      <c r="I78" s="13">
        <v>16</v>
      </c>
      <c r="J78" s="13">
        <v>31</v>
      </c>
      <c r="K78" s="14" t="str">
        <f>HYPERLINK("http://twitter.com","Twitter Web Client")</f>
        <v>Twitter Web Client</v>
      </c>
      <c r="L78" s="13">
        <v>114621</v>
      </c>
      <c r="M78" s="13">
        <v>505</v>
      </c>
      <c r="N78" s="13">
        <v>3096</v>
      </c>
      <c r="O78" s="15"/>
      <c r="P78" s="6">
        <v>39834.327060185184</v>
      </c>
      <c r="Q78" s="17" t="s">
        <v>374</v>
      </c>
      <c r="R78" s="16" t="s">
        <v>375</v>
      </c>
      <c r="S78" s="11" t="s">
        <v>376</v>
      </c>
      <c r="T78" s="12"/>
      <c r="U78" s="10" t="str">
        <f>HYPERLINK("https://pbs.twimg.com/profile_images/1017316210797621248/bvhsWgyf.jpg","View")</f>
        <v>View</v>
      </c>
    </row>
    <row r="79" spans="1:21" ht="20.399999999999999">
      <c r="A79" s="6">
        <v>43427.168993055559</v>
      </c>
      <c r="B79" s="7" t="str">
        <f>HYPERLINK("https://twitter.com/elhuron2","@elhuron2")</f>
        <v>@elhuron2</v>
      </c>
      <c r="C79" s="8" t="s">
        <v>379</v>
      </c>
      <c r="D79" s="9" t="s">
        <v>380</v>
      </c>
      <c r="E79" s="10" t="str">
        <f>HYPERLINK("https://twitter.com/elhuron2/status/1065938853394038784","1065938853394038784")</f>
        <v>1065938853394038784</v>
      </c>
      <c r="F79" s="11" t="s">
        <v>381</v>
      </c>
      <c r="G79" s="12"/>
      <c r="H79" s="12"/>
      <c r="I79" s="13">
        <v>0</v>
      </c>
      <c r="J79" s="13">
        <v>0</v>
      </c>
      <c r="K79" s="14" t="str">
        <f>HYPERLINK("https://www.google.com/","Google")</f>
        <v>Google</v>
      </c>
      <c r="L79" s="13">
        <v>408</v>
      </c>
      <c r="M79" s="13">
        <v>496</v>
      </c>
      <c r="N79" s="13">
        <v>6</v>
      </c>
      <c r="O79" s="15"/>
      <c r="P79" s="6">
        <v>41869.577997685185</v>
      </c>
      <c r="Q79" s="17" t="s">
        <v>382</v>
      </c>
      <c r="R79" s="16" t="s">
        <v>383</v>
      </c>
      <c r="S79" s="11" t="s">
        <v>384</v>
      </c>
      <c r="T79" s="12"/>
      <c r="U79" s="10" t="str">
        <f>HYPERLINK("https://pbs.twimg.com/profile_images/803176150629515264/heYiZScX.jpg","View")</f>
        <v>View</v>
      </c>
    </row>
    <row r="80" spans="1:21" ht="30.6">
      <c r="A80" s="6">
        <v>43427.168900462959</v>
      </c>
      <c r="B80" s="7" t="str">
        <f>HYPERLINK("https://twitter.com/xanagl","@xanagl")</f>
        <v>@xanagl</v>
      </c>
      <c r="C80" s="8" t="s">
        <v>387</v>
      </c>
      <c r="D80" s="9" t="s">
        <v>388</v>
      </c>
      <c r="E80" s="10" t="str">
        <f>HYPERLINK("https://twitter.com/xanagl/status/1065938820393312256","1065938820393312256")</f>
        <v>1065938820393312256</v>
      </c>
      <c r="F80" s="11" t="s">
        <v>391</v>
      </c>
      <c r="G80" s="12"/>
      <c r="H80" s="12"/>
      <c r="I80" s="13">
        <v>0</v>
      </c>
      <c r="J80" s="13">
        <v>0</v>
      </c>
      <c r="K80" s="14" t="str">
        <f>HYPERLINK("http://twitter.com/download/android","Twitter for Android")</f>
        <v>Twitter for Android</v>
      </c>
      <c r="L80" s="13">
        <v>189</v>
      </c>
      <c r="M80" s="13">
        <v>136</v>
      </c>
      <c r="N80" s="13">
        <v>6</v>
      </c>
      <c r="O80" s="15"/>
      <c r="P80" s="6">
        <v>40533.392372685186</v>
      </c>
      <c r="Q80" s="12"/>
      <c r="R80" s="18"/>
      <c r="S80" s="11" t="s">
        <v>395</v>
      </c>
      <c r="T80" s="12"/>
      <c r="U80" s="10" t="str">
        <f>HYPERLINK("https://pbs.twimg.com/profile_images/415875007823110144/oXt-Lzfv.jpeg","View")</f>
        <v>View</v>
      </c>
    </row>
    <row r="81" spans="1:21" ht="20.399999999999999">
      <c r="A81" s="6">
        <v>43427.168692129635</v>
      </c>
      <c r="B81" s="7" t="str">
        <f>HYPERLINK("https://twitter.com/SiSoyIzquierda","@SiSoyIzquierda")</f>
        <v>@SiSoyIzquierda</v>
      </c>
      <c r="C81" s="8" t="s">
        <v>396</v>
      </c>
      <c r="D81" s="9" t="s">
        <v>397</v>
      </c>
      <c r="E81" s="10" t="str">
        <f>HYPERLINK("https://twitter.com/SiSoyIzquierda/status/1065938745860476928","1065938745860476928")</f>
        <v>1065938745860476928</v>
      </c>
      <c r="F81" s="11" t="s">
        <v>398</v>
      </c>
      <c r="G81" s="12"/>
      <c r="H81" s="12"/>
      <c r="I81" s="13">
        <v>0</v>
      </c>
      <c r="J81" s="13">
        <v>0</v>
      </c>
      <c r="K81" s="14" t="str">
        <f>HYPERLINK("http://twitter.com/#!/download/ipad","Twitter for iPad")</f>
        <v>Twitter for iPad</v>
      </c>
      <c r="L81" s="13">
        <v>628</v>
      </c>
      <c r="M81" s="13">
        <v>784</v>
      </c>
      <c r="N81" s="13">
        <v>9</v>
      </c>
      <c r="O81" s="15"/>
      <c r="P81" s="6">
        <v>42673.56045138889</v>
      </c>
      <c r="Q81" s="17" t="s">
        <v>399</v>
      </c>
      <c r="R81" s="18"/>
      <c r="S81" s="12"/>
      <c r="T81" s="12"/>
      <c r="U81" s="10" t="str">
        <f>HYPERLINK("https://pbs.twimg.com/profile_images/1005768331142549504/AUQNuXGP.jpg","View")</f>
        <v>View</v>
      </c>
    </row>
    <row r="82" spans="1:21" ht="20.399999999999999">
      <c r="A82" s="6">
        <v>43427.168530092589</v>
      </c>
      <c r="B82" s="7" t="str">
        <f>HYPERLINK("https://twitter.com/elhuron2","@elhuron2")</f>
        <v>@elhuron2</v>
      </c>
      <c r="C82" s="8" t="s">
        <v>379</v>
      </c>
      <c r="D82" s="9" t="s">
        <v>400</v>
      </c>
      <c r="E82" s="10" t="str">
        <f>HYPERLINK("https://twitter.com/elhuron2/status/1065938685080858624","1065938685080858624")</f>
        <v>1065938685080858624</v>
      </c>
      <c r="F82" s="11" t="s">
        <v>381</v>
      </c>
      <c r="G82" s="12"/>
      <c r="H82" s="12"/>
      <c r="I82" s="13">
        <v>0</v>
      </c>
      <c r="J82" s="13">
        <v>0</v>
      </c>
      <c r="K82" s="14" t="str">
        <f>HYPERLINK("https://www.google.com/","Google")</f>
        <v>Google</v>
      </c>
      <c r="L82" s="13">
        <v>408</v>
      </c>
      <c r="M82" s="13">
        <v>496</v>
      </c>
      <c r="N82" s="13">
        <v>6</v>
      </c>
      <c r="O82" s="15"/>
      <c r="P82" s="6">
        <v>41869.577997685185</v>
      </c>
      <c r="Q82" s="17" t="s">
        <v>382</v>
      </c>
      <c r="R82" s="16" t="s">
        <v>383</v>
      </c>
      <c r="S82" s="11" t="s">
        <v>384</v>
      </c>
      <c r="T82" s="12"/>
      <c r="U82" s="10" t="str">
        <f>HYPERLINK("https://pbs.twimg.com/profile_images/803176150629515264/heYiZScX.jpg","View")</f>
        <v>View</v>
      </c>
    </row>
    <row r="83" spans="1:21" ht="30.6">
      <c r="A83" s="6">
        <v>43427.168437500004</v>
      </c>
      <c r="B83" s="7" t="str">
        <f>HYPERLINK("https://twitter.com/lopezbarrancoj4","@lopezbarrancoj4")</f>
        <v>@lopezbarrancoj4</v>
      </c>
      <c r="C83" s="8" t="s">
        <v>402</v>
      </c>
      <c r="D83" s="9" t="s">
        <v>403</v>
      </c>
      <c r="E83" s="10" t="str">
        <f>HYPERLINK("https://twitter.com/lopezbarrancoj4/status/1065938651782307841","1065938651782307841")</f>
        <v>1065938651782307841</v>
      </c>
      <c r="F83" s="12"/>
      <c r="G83" s="11" t="s">
        <v>404</v>
      </c>
      <c r="H83" s="12"/>
      <c r="I83" s="13">
        <v>0</v>
      </c>
      <c r="J83" s="13">
        <v>0</v>
      </c>
      <c r="K83" s="14" t="str">
        <f t="shared" ref="K83:K85" si="18">HYPERLINK("http://twitter.com","Twitter Web Client")</f>
        <v>Twitter Web Client</v>
      </c>
      <c r="L83" s="13">
        <v>10</v>
      </c>
      <c r="M83" s="13">
        <v>46</v>
      </c>
      <c r="N83" s="13">
        <v>0</v>
      </c>
      <c r="O83" s="15"/>
      <c r="P83" s="6">
        <v>42912.069780092592</v>
      </c>
      <c r="Q83" s="12"/>
      <c r="R83" s="18"/>
      <c r="S83" s="12"/>
      <c r="T83" s="12"/>
      <c r="U83" s="19" t="s">
        <v>368</v>
      </c>
    </row>
    <row r="84" spans="1:21" ht="30.6">
      <c r="A84" s="6">
        <v>43427.167997685188</v>
      </c>
      <c r="B84" s="7" t="str">
        <f>HYPERLINK("https://twitter.com/spastormartinez","@spastormartinez")</f>
        <v>@spastormartinez</v>
      </c>
      <c r="C84" s="8" t="s">
        <v>406</v>
      </c>
      <c r="D84" s="9" t="s">
        <v>407</v>
      </c>
      <c r="E84" s="10" t="str">
        <f>HYPERLINK("https://twitter.com/spastormartinez/status/1065938494416199681","1065938494416199681")</f>
        <v>1065938494416199681</v>
      </c>
      <c r="F84" s="11" t="s">
        <v>84</v>
      </c>
      <c r="G84" s="12"/>
      <c r="H84" s="12"/>
      <c r="I84" s="13">
        <v>3</v>
      </c>
      <c r="J84" s="13">
        <v>0</v>
      </c>
      <c r="K84" s="14" t="str">
        <f t="shared" si="18"/>
        <v>Twitter Web Client</v>
      </c>
      <c r="L84" s="13">
        <v>3198</v>
      </c>
      <c r="M84" s="13">
        <v>2803</v>
      </c>
      <c r="N84" s="13">
        <v>22</v>
      </c>
      <c r="O84" s="15"/>
      <c r="P84" s="6">
        <v>41408.449097222227</v>
      </c>
      <c r="Q84" s="17" t="s">
        <v>408</v>
      </c>
      <c r="R84" s="16" t="s">
        <v>409</v>
      </c>
      <c r="S84" s="12"/>
      <c r="T84" s="12"/>
      <c r="U84" s="10" t="str">
        <f>HYPERLINK("https://pbs.twimg.com/profile_images/519233687859122176/yPsHPdHV.jpeg","View")</f>
        <v>View</v>
      </c>
    </row>
    <row r="85" spans="1:21" ht="30.6">
      <c r="A85" s="6">
        <v>43427.165636574078</v>
      </c>
      <c r="B85" s="7" t="str">
        <f>HYPERLINK("https://twitter.com/conniebcn","@conniebcn")</f>
        <v>@conniebcn</v>
      </c>
      <c r="C85" s="8" t="s">
        <v>410</v>
      </c>
      <c r="D85" s="9" t="s">
        <v>407</v>
      </c>
      <c r="E85" s="10" t="str">
        <f>HYPERLINK("https://twitter.com/conniebcn/status/1065937636454473729","1065937636454473729")</f>
        <v>1065937636454473729</v>
      </c>
      <c r="F85" s="11" t="s">
        <v>84</v>
      </c>
      <c r="G85" s="12"/>
      <c r="H85" s="12"/>
      <c r="I85" s="13">
        <v>0</v>
      </c>
      <c r="J85" s="13">
        <v>0</v>
      </c>
      <c r="K85" s="14" t="str">
        <f t="shared" si="18"/>
        <v>Twitter Web Client</v>
      </c>
      <c r="L85" s="13">
        <v>9074</v>
      </c>
      <c r="M85" s="13">
        <v>8713</v>
      </c>
      <c r="N85" s="13">
        <v>56</v>
      </c>
      <c r="O85" s="15"/>
      <c r="P85" s="6">
        <v>40855.350219907406</v>
      </c>
      <c r="Q85" s="17" t="s">
        <v>411</v>
      </c>
      <c r="R85" s="16" t="s">
        <v>412</v>
      </c>
      <c r="S85" s="12"/>
      <c r="T85" s="12"/>
      <c r="U85" s="10" t="str">
        <f>HYPERLINK("https://pbs.twimg.com/profile_images/1052853748316352515/32g4u-OH.jpg","View")</f>
        <v>View</v>
      </c>
    </row>
    <row r="86" spans="1:21" ht="51">
      <c r="A86" s="6">
        <v>43427.161504629628</v>
      </c>
      <c r="B86" s="7" t="str">
        <f>HYPERLINK("https://twitter.com/PilotoRojo73","@PilotoRojo73")</f>
        <v>@PilotoRojo73</v>
      </c>
      <c r="C86" s="8" t="s">
        <v>413</v>
      </c>
      <c r="D86" s="9" t="s">
        <v>414</v>
      </c>
      <c r="E86" s="10" t="str">
        <f>HYPERLINK("https://twitter.com/PilotoRojo73/status/1065936138664361985","1065936138664361985")</f>
        <v>1065936138664361985</v>
      </c>
      <c r="F86" s="12"/>
      <c r="G86" s="12"/>
      <c r="H86" s="12"/>
      <c r="I86" s="13">
        <v>5</v>
      </c>
      <c r="J86" s="13">
        <v>5</v>
      </c>
      <c r="K86" s="14" t="str">
        <f>HYPERLINK("https://mobile.twitter.com","Twitter Lite")</f>
        <v>Twitter Lite</v>
      </c>
      <c r="L86" s="13">
        <v>10216</v>
      </c>
      <c r="M86" s="13">
        <v>7890</v>
      </c>
      <c r="N86" s="13">
        <v>60</v>
      </c>
      <c r="O86" s="15"/>
      <c r="P86" s="6">
        <v>42493.663310185184</v>
      </c>
      <c r="Q86" s="17" t="s">
        <v>415</v>
      </c>
      <c r="R86" s="16" t="s">
        <v>416</v>
      </c>
      <c r="S86" s="11" t="s">
        <v>417</v>
      </c>
      <c r="T86" s="12"/>
      <c r="U86" s="10" t="str">
        <f>HYPERLINK("https://pbs.twimg.com/profile_images/1051228030612492288/ocTykL51.jpg","View")</f>
        <v>View</v>
      </c>
    </row>
    <row r="87" spans="1:21" ht="40.799999999999997">
      <c r="A87" s="6">
        <v>43427.160497685181</v>
      </c>
      <c r="B87" s="7" t="str">
        <f>HYPERLINK("https://twitter.com/ATTACNavarra","@ATTACNavarra")</f>
        <v>@ATTACNavarra</v>
      </c>
      <c r="C87" s="8" t="s">
        <v>418</v>
      </c>
      <c r="D87" s="9" t="s">
        <v>420</v>
      </c>
      <c r="E87" s="10" t="str">
        <f>HYPERLINK("https://twitter.com/ATTACNavarra/status/1065935774594580480","1065935774594580480")</f>
        <v>1065935774594580480</v>
      </c>
      <c r="F87" s="11" t="s">
        <v>42</v>
      </c>
      <c r="G87" s="12"/>
      <c r="H87" s="12"/>
      <c r="I87" s="13">
        <v>0</v>
      </c>
      <c r="J87" s="13">
        <v>0</v>
      </c>
      <c r="K87" s="14" t="str">
        <f>HYPERLINK("http://www.facebook.com/twitter","Facebook")</f>
        <v>Facebook</v>
      </c>
      <c r="L87" s="13">
        <v>859</v>
      </c>
      <c r="M87" s="13">
        <v>177</v>
      </c>
      <c r="N87" s="13">
        <v>20</v>
      </c>
      <c r="O87" s="15"/>
      <c r="P87" s="6">
        <v>40965.583483796298</v>
      </c>
      <c r="Q87" s="12"/>
      <c r="R87" s="16" t="s">
        <v>421</v>
      </c>
      <c r="S87" s="11" t="s">
        <v>422</v>
      </c>
      <c r="T87" s="12"/>
      <c r="U87" s="10" t="str">
        <f>HYPERLINK("https://pbs.twimg.com/profile_images/1993151460/ATTAC_Navarra-Nafarroa_avatar.jpg","View")</f>
        <v>View</v>
      </c>
    </row>
    <row r="88" spans="1:21" ht="40.799999999999997">
      <c r="A88" s="6">
        <v>43427.159363425926</v>
      </c>
      <c r="B88" s="7" t="str">
        <f>HYPERLINK("https://twitter.com/CsarVictoria","@CsarVictoria")</f>
        <v>@CsarVictoria</v>
      </c>
      <c r="C88" s="8" t="s">
        <v>423</v>
      </c>
      <c r="D88" s="9" t="s">
        <v>424</v>
      </c>
      <c r="E88" s="10" t="str">
        <f>HYPERLINK("https://twitter.com/CsarVictoria/status/1065935363984760833","1065935363984760833")</f>
        <v>1065935363984760833</v>
      </c>
      <c r="F88" s="11" t="s">
        <v>425</v>
      </c>
      <c r="G88" s="12"/>
      <c r="H88" s="12"/>
      <c r="I88" s="13">
        <v>0</v>
      </c>
      <c r="J88" s="13">
        <v>0</v>
      </c>
      <c r="K88" s="14" t="str">
        <f>HYPERLINK("http://twitter.com/download/android","Twitter for Android")</f>
        <v>Twitter for Android</v>
      </c>
      <c r="L88" s="13">
        <v>125</v>
      </c>
      <c r="M88" s="13">
        <v>88</v>
      </c>
      <c r="N88" s="13">
        <v>2</v>
      </c>
      <c r="O88" s="15"/>
      <c r="P88" s="6">
        <v>41793.145810185189</v>
      </c>
      <c r="Q88" s="17" t="s">
        <v>427</v>
      </c>
      <c r="R88" s="18"/>
      <c r="S88" s="12"/>
      <c r="T88" s="12"/>
      <c r="U88" s="10" t="str">
        <f>HYPERLINK("https://pbs.twimg.com/profile_images/883724764312981504/U3N1NWAC.jpg","View")</f>
        <v>View</v>
      </c>
    </row>
    <row r="89" spans="1:21" ht="40.799999999999997">
      <c r="A89" s="6">
        <v>43427.158773148149</v>
      </c>
      <c r="B89" s="7" t="str">
        <f>HYPERLINK("https://twitter.com/JEcheverra","@JEcheverra")</f>
        <v>@JEcheverra</v>
      </c>
      <c r="C89" s="8" t="s">
        <v>429</v>
      </c>
      <c r="D89" s="9" t="s">
        <v>420</v>
      </c>
      <c r="E89" s="10" t="str">
        <f>HYPERLINK("https://twitter.com/JEcheverra/status/1065935149546774533","1065935149546774533")</f>
        <v>1065935149546774533</v>
      </c>
      <c r="F89" s="11" t="s">
        <v>42</v>
      </c>
      <c r="G89" s="12"/>
      <c r="H89" s="12"/>
      <c r="I89" s="13">
        <v>0</v>
      </c>
      <c r="J89" s="13">
        <v>0</v>
      </c>
      <c r="K89" s="14" t="str">
        <f>HYPERLINK("http://www.facebook.com/twitter","Facebook")</f>
        <v>Facebook</v>
      </c>
      <c r="L89" s="13">
        <v>261</v>
      </c>
      <c r="M89" s="13">
        <v>251</v>
      </c>
      <c r="N89" s="13">
        <v>9</v>
      </c>
      <c r="O89" s="15"/>
      <c r="P89" s="6">
        <v>40872.200104166666</v>
      </c>
      <c r="Q89" s="12"/>
      <c r="R89" s="16" t="s">
        <v>431</v>
      </c>
      <c r="S89" s="12"/>
      <c r="T89" s="12"/>
      <c r="U89" s="10" t="str">
        <f>HYPERLINK("https://pbs.twimg.com/profile_images/2009103717/Luz_tenue.jpg","View")</f>
        <v>View</v>
      </c>
    </row>
    <row r="90" spans="1:21" ht="13.2">
      <c r="A90" s="6">
        <v>43427.158576388887</v>
      </c>
      <c r="B90" s="7" t="str">
        <f>HYPERLINK("https://twitter.com/Leonard90426641","@Leonard90426641")</f>
        <v>@Leonard90426641</v>
      </c>
      <c r="C90" s="8" t="s">
        <v>432</v>
      </c>
      <c r="D90" s="9" t="s">
        <v>433</v>
      </c>
      <c r="E90" s="10" t="str">
        <f>HYPERLINK("https://twitter.com/Leonard90426641/status/1065935076511412225","1065935076511412225")</f>
        <v>1065935076511412225</v>
      </c>
      <c r="F90" s="12"/>
      <c r="G90" s="12"/>
      <c r="H90" s="12"/>
      <c r="I90" s="13">
        <v>0</v>
      </c>
      <c r="J90" s="13">
        <v>0</v>
      </c>
      <c r="K90" s="14" t="str">
        <f>HYPERLINK("http://twitter.com/download/android","Twitter for Android")</f>
        <v>Twitter for Android</v>
      </c>
      <c r="L90" s="13">
        <v>0</v>
      </c>
      <c r="M90" s="13">
        <v>14</v>
      </c>
      <c r="N90" s="13">
        <v>0</v>
      </c>
      <c r="O90" s="15"/>
      <c r="P90" s="6">
        <v>43426.588622685187</v>
      </c>
      <c r="Q90" s="12"/>
      <c r="R90" s="18"/>
      <c r="S90" s="12"/>
      <c r="T90" s="12"/>
      <c r="U90" s="19" t="s">
        <v>368</v>
      </c>
    </row>
    <row r="91" spans="1:21" ht="30.6">
      <c r="A91" s="6">
        <v>43427.158333333333</v>
      </c>
      <c r="B91" s="7" t="str">
        <f>HYPERLINK("https://twitter.com/elconfidencial","@elconfidencial")</f>
        <v>@elconfidencial</v>
      </c>
      <c r="C91" s="8" t="s">
        <v>434</v>
      </c>
      <c r="D91" s="9" t="s">
        <v>435</v>
      </c>
      <c r="E91" s="10" t="str">
        <f>HYPERLINK("https://twitter.com/elconfidencial/status/1065934989865492486","1065934989865492486")</f>
        <v>1065934989865492486</v>
      </c>
      <c r="F91" s="11" t="s">
        <v>436</v>
      </c>
      <c r="G91" s="12"/>
      <c r="H91" s="12"/>
      <c r="I91" s="13">
        <v>4</v>
      </c>
      <c r="J91" s="13">
        <v>2</v>
      </c>
      <c r="K91" s="14" t="str">
        <f>HYPERLINK("https://about.twitter.com/products/tweetdeck","TweetDeck")</f>
        <v>TweetDeck</v>
      </c>
      <c r="L91" s="13">
        <v>763075</v>
      </c>
      <c r="M91" s="13">
        <v>183</v>
      </c>
      <c r="N91" s="13">
        <v>11090</v>
      </c>
      <c r="O91" s="19" t="s">
        <v>74</v>
      </c>
      <c r="P91" s="6">
        <v>39759.093657407408</v>
      </c>
      <c r="Q91" s="17" t="s">
        <v>437</v>
      </c>
      <c r="R91" s="16" t="s">
        <v>438</v>
      </c>
      <c r="S91" s="11" t="s">
        <v>236</v>
      </c>
      <c r="T91" s="12"/>
      <c r="U91" s="10" t="str">
        <f>HYPERLINK("https://pbs.twimg.com/profile_images/831498645476356097/TVsVGq4W.jpg","View")</f>
        <v>View</v>
      </c>
    </row>
    <row r="92" spans="1:21" ht="40.799999999999997">
      <c r="A92" s="6">
        <v>43427.157847222217</v>
      </c>
      <c r="B92" s="7" t="str">
        <f>HYPERLINK("https://twitter.com/sacnacpanea357","@sacnacpanea357")</f>
        <v>@sacnacpanea357</v>
      </c>
      <c r="C92" s="8" t="s">
        <v>441</v>
      </c>
      <c r="D92" s="9" t="s">
        <v>442</v>
      </c>
      <c r="E92" s="10" t="str">
        <f>HYPERLINK("https://twitter.com/sacnacpanea357/status/1065934814413549568","1065934814413549568")</f>
        <v>1065934814413549568</v>
      </c>
      <c r="F92" s="12"/>
      <c r="G92" s="11" t="s">
        <v>443</v>
      </c>
      <c r="H92" s="12"/>
      <c r="I92" s="13">
        <v>1</v>
      </c>
      <c r="J92" s="13">
        <v>1</v>
      </c>
      <c r="K92" s="14" t="str">
        <f t="shared" ref="K92:K93" si="19">HYPERLINK("http://twitter.com/download/android","Twitter for Android")</f>
        <v>Twitter for Android</v>
      </c>
      <c r="L92" s="13">
        <v>65</v>
      </c>
      <c r="M92" s="13">
        <v>212</v>
      </c>
      <c r="N92" s="13">
        <v>1</v>
      </c>
      <c r="O92" s="15"/>
      <c r="P92" s="6">
        <v>41877.60365740741</v>
      </c>
      <c r="Q92" s="12"/>
      <c r="R92" s="18"/>
      <c r="S92" s="12"/>
      <c r="T92" s="12"/>
      <c r="U92" s="10" t="str">
        <f>HYPERLINK("https://pbs.twimg.com/profile_images/662567342212296708/kDWAoe50.jpg","View")</f>
        <v>View</v>
      </c>
    </row>
    <row r="93" spans="1:21" ht="30.6">
      <c r="A93" s="6">
        <v>43427.157824074078</v>
      </c>
      <c r="B93" s="7" t="str">
        <f>HYPERLINK("https://twitter.com/Herrero1946Jose","@Herrero1946Jose")</f>
        <v>@Herrero1946Jose</v>
      </c>
      <c r="C93" s="8" t="s">
        <v>444</v>
      </c>
      <c r="D93" s="9" t="s">
        <v>45</v>
      </c>
      <c r="E93" s="10" t="str">
        <f>HYPERLINK("https://twitter.com/Herrero1946Jose/status/1065934804263346178","1065934804263346178")</f>
        <v>1065934804263346178</v>
      </c>
      <c r="F93" s="11" t="s">
        <v>47</v>
      </c>
      <c r="G93" s="12"/>
      <c r="H93" s="12"/>
      <c r="I93" s="13">
        <v>0</v>
      </c>
      <c r="J93" s="13">
        <v>0</v>
      </c>
      <c r="K93" s="14" t="str">
        <f t="shared" si="19"/>
        <v>Twitter for Android</v>
      </c>
      <c r="L93" s="13">
        <v>1575</v>
      </c>
      <c r="M93" s="13">
        <v>1566</v>
      </c>
      <c r="N93" s="13">
        <v>14</v>
      </c>
      <c r="O93" s="15"/>
      <c r="P93" s="6">
        <v>41692.413263888891</v>
      </c>
      <c r="Q93" s="17" t="s">
        <v>447</v>
      </c>
      <c r="R93" s="16" t="s">
        <v>448</v>
      </c>
      <c r="S93" s="12"/>
      <c r="T93" s="12"/>
      <c r="U93" s="10" t="str">
        <f>HYPERLINK("https://pbs.twimg.com/profile_images/660217709758701568/G2Wjj43D.jpg","View")</f>
        <v>View</v>
      </c>
    </row>
    <row r="94" spans="1:21" ht="51">
      <c r="A94" s="6">
        <v>43427.157476851848</v>
      </c>
      <c r="B94" s="7" t="str">
        <f>HYPERLINK("https://twitter.com/julianignacio33","@julianignacio33")</f>
        <v>@julianignacio33</v>
      </c>
      <c r="C94" s="8" t="s">
        <v>449</v>
      </c>
      <c r="D94" s="9" t="s">
        <v>450</v>
      </c>
      <c r="E94" s="10" t="str">
        <f>HYPERLINK("https://twitter.com/julianignacio33/status/1065934681365987328","1065934681365987328")</f>
        <v>1065934681365987328</v>
      </c>
      <c r="F94" s="12"/>
      <c r="G94" s="12"/>
      <c r="H94" s="12"/>
      <c r="I94" s="13">
        <v>0</v>
      </c>
      <c r="J94" s="13">
        <v>0</v>
      </c>
      <c r="K94" s="14" t="str">
        <f>HYPERLINK("http://twitter.com","Twitter Web Client")</f>
        <v>Twitter Web Client</v>
      </c>
      <c r="L94" s="13">
        <v>61</v>
      </c>
      <c r="M94" s="13">
        <v>699</v>
      </c>
      <c r="N94" s="13">
        <v>0</v>
      </c>
      <c r="O94" s="15"/>
      <c r="P94" s="6">
        <v>42856.475844907407</v>
      </c>
      <c r="Q94" s="12"/>
      <c r="R94" s="18"/>
      <c r="S94" s="12"/>
      <c r="T94" s="12"/>
      <c r="U94" s="10" t="str">
        <f>HYPERLINK("https://pbs.twimg.com/profile_images/1018202218548297728/EdhmuOKT.jpg","View")</f>
        <v>View</v>
      </c>
    </row>
    <row r="95" spans="1:21" ht="40.799999999999997">
      <c r="A95" s="6">
        <v>43427.156354166669</v>
      </c>
      <c r="B95" s="7" t="str">
        <f>HYPERLINK("https://twitter.com/CarlosBasabe4","@CarlosBasabe4")</f>
        <v>@CarlosBasabe4</v>
      </c>
      <c r="C95" s="8" t="s">
        <v>451</v>
      </c>
      <c r="D95" s="9" t="s">
        <v>452</v>
      </c>
      <c r="E95" s="10" t="str">
        <f>HYPERLINK("https://twitter.com/CarlosBasabe4/status/1065934274749243394","1065934274749243394")</f>
        <v>1065934274749243394</v>
      </c>
      <c r="F95" s="12"/>
      <c r="G95" s="12"/>
      <c r="H95" s="12"/>
      <c r="I95" s="13">
        <v>0</v>
      </c>
      <c r="J95" s="13">
        <v>0</v>
      </c>
      <c r="K95" s="14" t="str">
        <f t="shared" ref="K95:K98" si="20">HYPERLINK("http://twitter.com/download/android","Twitter for Android")</f>
        <v>Twitter for Android</v>
      </c>
      <c r="L95" s="13">
        <v>1520</v>
      </c>
      <c r="M95" s="13">
        <v>5002</v>
      </c>
      <c r="N95" s="13">
        <v>3</v>
      </c>
      <c r="O95" s="15"/>
      <c r="P95" s="6">
        <v>43041.775868055556</v>
      </c>
      <c r="Q95" s="17" t="s">
        <v>454</v>
      </c>
      <c r="R95" s="16" t="s">
        <v>455</v>
      </c>
      <c r="S95" s="12"/>
      <c r="T95" s="12"/>
      <c r="U95" s="10" t="str">
        <f>HYPERLINK("https://pbs.twimg.com/profile_images/1002944252354195457/jSQJRNy2.jpg","View")</f>
        <v>View</v>
      </c>
    </row>
    <row r="96" spans="1:21" ht="30.6">
      <c r="A96" s="6">
        <v>43427.155601851853</v>
      </c>
      <c r="B96" s="7" t="str">
        <f>HYPERLINK("https://twitter.com/Manolimon","@Manolimon")</f>
        <v>@Manolimon</v>
      </c>
      <c r="C96" s="8" t="s">
        <v>458</v>
      </c>
      <c r="D96" s="9" t="s">
        <v>459</v>
      </c>
      <c r="E96" s="10" t="str">
        <f>HYPERLINK("https://twitter.com/Manolimon/status/1065933999732858880","1065933999732858880")</f>
        <v>1065933999732858880</v>
      </c>
      <c r="F96" s="12"/>
      <c r="G96" s="12"/>
      <c r="H96" s="12"/>
      <c r="I96" s="13">
        <v>1</v>
      </c>
      <c r="J96" s="13">
        <v>3</v>
      </c>
      <c r="K96" s="14" t="str">
        <f t="shared" si="20"/>
        <v>Twitter for Android</v>
      </c>
      <c r="L96" s="13">
        <v>535</v>
      </c>
      <c r="M96" s="13">
        <v>652</v>
      </c>
      <c r="N96" s="13">
        <v>2</v>
      </c>
      <c r="O96" s="15"/>
      <c r="P96" s="6">
        <v>41512.143969907411</v>
      </c>
      <c r="Q96" s="12"/>
      <c r="R96" s="16" t="s">
        <v>460</v>
      </c>
      <c r="S96" s="12"/>
      <c r="T96" s="12"/>
      <c r="U96" s="10" t="str">
        <f>HYPERLINK("https://pbs.twimg.com/profile_images/845574182851264512/K9ztyvZI.jpg","View")</f>
        <v>View</v>
      </c>
    </row>
    <row r="97" spans="1:21" ht="20.399999999999999">
      <c r="A97" s="6">
        <v>43427.154548611114</v>
      </c>
      <c r="B97" s="7" t="str">
        <f>HYPERLINK("https://twitter.com/ferdeles","@ferdeles")</f>
        <v>@ferdeles</v>
      </c>
      <c r="C97" s="8" t="s">
        <v>461</v>
      </c>
      <c r="D97" s="9" t="s">
        <v>462</v>
      </c>
      <c r="E97" s="10" t="str">
        <f>HYPERLINK("https://twitter.com/ferdeles/status/1065933619649277952","1065933619649277952")</f>
        <v>1065933619649277952</v>
      </c>
      <c r="F97" s="12"/>
      <c r="G97" s="12"/>
      <c r="H97" s="12"/>
      <c r="I97" s="13">
        <v>0</v>
      </c>
      <c r="J97" s="13">
        <v>5</v>
      </c>
      <c r="K97" s="14" t="str">
        <f t="shared" si="20"/>
        <v>Twitter for Android</v>
      </c>
      <c r="L97" s="13">
        <v>27175</v>
      </c>
      <c r="M97" s="13">
        <v>495</v>
      </c>
      <c r="N97" s="13">
        <v>528</v>
      </c>
      <c r="O97" s="15"/>
      <c r="P97" s="6">
        <v>40190.135416666664</v>
      </c>
      <c r="Q97" s="17" t="s">
        <v>463</v>
      </c>
      <c r="R97" s="16" t="s">
        <v>464</v>
      </c>
      <c r="S97" s="12"/>
      <c r="T97" s="12"/>
      <c r="U97" s="10" t="str">
        <f>HYPERLINK("https://pbs.twimg.com/profile_images/1057906481088155648/U1G7sgkw.jpg","View")</f>
        <v>View</v>
      </c>
    </row>
    <row r="98" spans="1:21" ht="30.6">
      <c r="A98" s="6">
        <v>43427.151423611111</v>
      </c>
      <c r="B98" s="7" t="str">
        <f>HYPERLINK("https://twitter.com/LuisBer56078021","@LuisBer56078021")</f>
        <v>@LuisBer56078021</v>
      </c>
      <c r="C98" s="8" t="s">
        <v>466</v>
      </c>
      <c r="D98" s="9" t="s">
        <v>45</v>
      </c>
      <c r="E98" s="10" t="str">
        <f>HYPERLINK("https://twitter.com/LuisBer56078021/status/1065932485077417985","1065932485077417985")</f>
        <v>1065932485077417985</v>
      </c>
      <c r="F98" s="11" t="s">
        <v>47</v>
      </c>
      <c r="G98" s="12"/>
      <c r="H98" s="12"/>
      <c r="I98" s="13">
        <v>1</v>
      </c>
      <c r="J98" s="13">
        <v>1</v>
      </c>
      <c r="K98" s="14" t="str">
        <f t="shared" si="20"/>
        <v>Twitter for Android</v>
      </c>
      <c r="L98" s="13">
        <v>3</v>
      </c>
      <c r="M98" s="13">
        <v>7</v>
      </c>
      <c r="N98" s="13">
        <v>0</v>
      </c>
      <c r="O98" s="15"/>
      <c r="P98" s="6">
        <v>42807.5394212963</v>
      </c>
      <c r="Q98" s="12"/>
      <c r="R98" s="18"/>
      <c r="S98" s="12"/>
      <c r="T98" s="12"/>
      <c r="U98" s="10" t="str">
        <f>HYPERLINK("https://pbs.twimg.com/profile_images/841383514880778240/9JDONOnL.jpg","View")</f>
        <v>View</v>
      </c>
    </row>
    <row r="99" spans="1:21" ht="30.6">
      <c r="A99" s="6">
        <v>43427.148599537039</v>
      </c>
      <c r="B99" s="7" t="str">
        <f>HYPERLINK("https://twitter.com/ElHuffPost","@ElHuffPost")</f>
        <v>@ElHuffPost</v>
      </c>
      <c r="C99" s="8" t="s">
        <v>467</v>
      </c>
      <c r="D99" s="9" t="s">
        <v>468</v>
      </c>
      <c r="E99" s="10" t="str">
        <f>HYPERLINK("https://twitter.com/ElHuffPost/status/1065931461168193536","1065931461168193536")</f>
        <v>1065931461168193536</v>
      </c>
      <c r="F99" s="11" t="s">
        <v>469</v>
      </c>
      <c r="G99" s="11" t="s">
        <v>470</v>
      </c>
      <c r="H99" s="12"/>
      <c r="I99" s="13">
        <v>1</v>
      </c>
      <c r="J99" s="13">
        <v>3</v>
      </c>
      <c r="K99" s="14" t="str">
        <f>HYPERLINK("http://twitter.com","Twitter Web Client")</f>
        <v>Twitter Web Client</v>
      </c>
      <c r="L99" s="13">
        <v>430323</v>
      </c>
      <c r="M99" s="13">
        <v>1532</v>
      </c>
      <c r="N99" s="13">
        <v>8186</v>
      </c>
      <c r="O99" s="19" t="s">
        <v>74</v>
      </c>
      <c r="P99" s="6">
        <v>40784.652118055557</v>
      </c>
      <c r="Q99" s="17" t="s">
        <v>203</v>
      </c>
      <c r="R99" s="16" t="s">
        <v>471</v>
      </c>
      <c r="S99" s="11" t="s">
        <v>472</v>
      </c>
      <c r="T99" s="12"/>
      <c r="U99" s="10" t="str">
        <f>HYPERLINK("https://pbs.twimg.com/profile_images/921140803422089217/ETOEUOAx.jpg","View")</f>
        <v>View</v>
      </c>
    </row>
    <row r="100" spans="1:21" ht="20.399999999999999">
      <c r="A100" s="6">
        <v>43427.146631944444</v>
      </c>
      <c r="B100" s="7" t="str">
        <f>HYPERLINK("https://twitter.com/VCampoGibraltar","@VCampoGibraltar")</f>
        <v>@VCampoGibraltar</v>
      </c>
      <c r="C100" s="8" t="s">
        <v>473</v>
      </c>
      <c r="D100" s="9" t="s">
        <v>474</v>
      </c>
      <c r="E100" s="10" t="str">
        <f>HYPERLINK("https://twitter.com/VCampoGibraltar/status/1065930748866236416","1065930748866236416")</f>
        <v>1065930748866236416</v>
      </c>
      <c r="F100" s="11" t="s">
        <v>475</v>
      </c>
      <c r="G100" s="12"/>
      <c r="H100" s="12"/>
      <c r="I100" s="13">
        <v>0</v>
      </c>
      <c r="J100" s="13">
        <v>0</v>
      </c>
      <c r="K100" s="14" t="str">
        <f>HYPERLINK("http://www.facebook.com/twitter","Facebook")</f>
        <v>Facebook</v>
      </c>
      <c r="L100" s="13">
        <v>3003</v>
      </c>
      <c r="M100" s="13">
        <v>609</v>
      </c>
      <c r="N100" s="13">
        <v>60</v>
      </c>
      <c r="O100" s="15"/>
      <c r="P100" s="6">
        <v>40500.366215277776</v>
      </c>
      <c r="Q100" s="17" t="s">
        <v>476</v>
      </c>
      <c r="R100" s="16" t="s">
        <v>477</v>
      </c>
      <c r="S100" s="11" t="s">
        <v>478</v>
      </c>
      <c r="T100" s="12"/>
      <c r="U100" s="10" t="str">
        <f>HYPERLINK("https://pbs.twimg.com/profile_images/965719718941347841/x4TgKYle.jpg","View")</f>
        <v>View</v>
      </c>
    </row>
    <row r="101" spans="1:21" ht="40.799999999999997">
      <c r="A101" s="6">
        <v>43427.146516203706</v>
      </c>
      <c r="B101" s="7" t="str">
        <f>HYPERLINK("https://twitter.com/JMPGCV","@JMPGCV")</f>
        <v>@JMPGCV</v>
      </c>
      <c r="C101" s="8" t="s">
        <v>479</v>
      </c>
      <c r="D101" s="9" t="s">
        <v>480</v>
      </c>
      <c r="E101" s="10" t="str">
        <f>HYPERLINK("https://twitter.com/JMPGCV/status/1065930709087473664","1065930709087473664")</f>
        <v>1065930709087473664</v>
      </c>
      <c r="F101" s="11" t="s">
        <v>47</v>
      </c>
      <c r="G101" s="12"/>
      <c r="H101" s="12"/>
      <c r="I101" s="13">
        <v>5</v>
      </c>
      <c r="J101" s="13">
        <v>5</v>
      </c>
      <c r="K101" s="14" t="str">
        <f>HYPERLINK("http://twitter.com/download/android","Twitter for Android")</f>
        <v>Twitter for Android</v>
      </c>
      <c r="L101" s="13">
        <v>2716</v>
      </c>
      <c r="M101" s="13">
        <v>2114</v>
      </c>
      <c r="N101" s="13">
        <v>18</v>
      </c>
      <c r="O101" s="15"/>
      <c r="P101" s="6">
        <v>42675.565069444448</v>
      </c>
      <c r="Q101" s="17" t="s">
        <v>482</v>
      </c>
      <c r="R101" s="16" t="s">
        <v>483</v>
      </c>
      <c r="S101" s="11" t="s">
        <v>484</v>
      </c>
      <c r="T101" s="12"/>
      <c r="U101" s="10" t="str">
        <f>HYPERLINK("https://pbs.twimg.com/profile_images/1031413675595313152/tKHMq_JJ.jpg","View")</f>
        <v>View</v>
      </c>
    </row>
    <row r="102" spans="1:21" ht="30.6">
      <c r="A102" s="6">
        <v>43427.146192129629</v>
      </c>
      <c r="B102" s="7" t="str">
        <f>HYPERLINK("https://twitter.com/patximorrondo_j","@patximorrondo_j")</f>
        <v>@patximorrondo_j</v>
      </c>
      <c r="C102" s="8" t="s">
        <v>486</v>
      </c>
      <c r="D102" s="9" t="s">
        <v>45</v>
      </c>
      <c r="E102" s="10" t="str">
        <f>HYPERLINK("https://twitter.com/patximorrondo_j/status/1065930591135252481","1065930591135252481")</f>
        <v>1065930591135252481</v>
      </c>
      <c r="F102" s="11" t="s">
        <v>84</v>
      </c>
      <c r="G102" s="12"/>
      <c r="H102" s="12"/>
      <c r="I102" s="13">
        <v>0</v>
      </c>
      <c r="J102" s="13">
        <v>0</v>
      </c>
      <c r="K102" s="14" t="str">
        <f>HYPERLINK("http://twitter.com","Twitter Web Client")</f>
        <v>Twitter Web Client</v>
      </c>
      <c r="L102" s="13">
        <v>181</v>
      </c>
      <c r="M102" s="13">
        <v>368</v>
      </c>
      <c r="N102" s="13">
        <v>12</v>
      </c>
      <c r="O102" s="15"/>
      <c r="P102" s="6">
        <v>42077.296967592592</v>
      </c>
      <c r="Q102" s="12"/>
      <c r="R102" s="18"/>
      <c r="S102" s="11" t="s">
        <v>488</v>
      </c>
      <c r="T102" s="12"/>
      <c r="U102" s="10" t="str">
        <f>HYPERLINK("https://pbs.twimg.com/profile_images/576746924138573825/6vvCq1Os.jpeg","View")</f>
        <v>View</v>
      </c>
    </row>
    <row r="103" spans="1:21" ht="30.6">
      <c r="A103" s="6">
        <v>43427.143877314811</v>
      </c>
      <c r="B103" s="7" t="str">
        <f>HYPERLINK("https://twitter.com/TaniaCrespo3","@TaniaCrespo3")</f>
        <v>@TaniaCrespo3</v>
      </c>
      <c r="C103" s="8" t="s">
        <v>489</v>
      </c>
      <c r="D103" s="9" t="s">
        <v>490</v>
      </c>
      <c r="E103" s="10" t="str">
        <f>HYPERLINK("https://twitter.com/TaniaCrespo3/status/1065929753008500741","1065929753008500741")</f>
        <v>1065929753008500741</v>
      </c>
      <c r="F103" s="11" t="s">
        <v>491</v>
      </c>
      <c r="G103" s="12"/>
      <c r="H103" s="12"/>
      <c r="I103" s="13">
        <v>1</v>
      </c>
      <c r="J103" s="13">
        <v>1</v>
      </c>
      <c r="K103" s="14" t="str">
        <f>HYPERLINK("http://twitter.com/download/android","Twitter for Android")</f>
        <v>Twitter for Android</v>
      </c>
      <c r="L103" s="13">
        <v>862</v>
      </c>
      <c r="M103" s="13">
        <v>1624</v>
      </c>
      <c r="N103" s="13">
        <v>1</v>
      </c>
      <c r="O103" s="15"/>
      <c r="P103" s="6">
        <v>43257.454548611116</v>
      </c>
      <c r="Q103" s="17" t="s">
        <v>492</v>
      </c>
      <c r="R103" s="16" t="s">
        <v>493</v>
      </c>
      <c r="S103" s="12"/>
      <c r="T103" s="12"/>
      <c r="U103" s="10" t="str">
        <f>HYPERLINK("https://pbs.twimg.com/profile_images/1004426598471340033/zL90kJim.jpg","View")</f>
        <v>View</v>
      </c>
    </row>
    <row r="104" spans="1:21" ht="30.6">
      <c r="A104" s="6">
        <v>43427.138831018514</v>
      </c>
      <c r="B104" s="7" t="str">
        <f>HYPERLINK("https://twitter.com/Yumland","@Yumland")</f>
        <v>@Yumland</v>
      </c>
      <c r="C104" s="8" t="s">
        <v>494</v>
      </c>
      <c r="D104" s="9" t="s">
        <v>495</v>
      </c>
      <c r="E104" s="10" t="str">
        <f>HYPERLINK("https://twitter.com/Yumland/status/1065927923620872192","1065927923620872192")</f>
        <v>1065927923620872192</v>
      </c>
      <c r="F104" s="12"/>
      <c r="G104" s="11" t="s">
        <v>496</v>
      </c>
      <c r="H104" s="12"/>
      <c r="I104" s="13">
        <v>1</v>
      </c>
      <c r="J104" s="13">
        <v>4</v>
      </c>
      <c r="K104" s="14" t="str">
        <f>HYPERLINK("http://twitter.com","Twitter Web Client")</f>
        <v>Twitter Web Client</v>
      </c>
      <c r="L104" s="13">
        <v>11538</v>
      </c>
      <c r="M104" s="13">
        <v>678</v>
      </c>
      <c r="N104" s="13">
        <v>191</v>
      </c>
      <c r="O104" s="15"/>
      <c r="P104" s="6">
        <v>40249.082326388889</v>
      </c>
      <c r="Q104" s="17" t="s">
        <v>497</v>
      </c>
      <c r="R104" s="16" t="s">
        <v>498</v>
      </c>
      <c r="S104" s="11" t="s">
        <v>499</v>
      </c>
      <c r="T104" s="12"/>
      <c r="U104" s="10" t="str">
        <f>HYPERLINK("https://pbs.twimg.com/profile_images/796769990972211202/JIvlDLOE.jpg","View")</f>
        <v>View</v>
      </c>
    </row>
    <row r="105" spans="1:21" ht="20.399999999999999">
      <c r="A105" s="6">
        <v>43427.135937500003</v>
      </c>
      <c r="B105" s="7" t="str">
        <f>HYPERLINK("https://twitter.com/SRGOGOL","@SRGOGOL")</f>
        <v>@SRGOGOL</v>
      </c>
      <c r="C105" s="8" t="s">
        <v>500</v>
      </c>
      <c r="D105" s="9" t="s">
        <v>501</v>
      </c>
      <c r="E105" s="10" t="str">
        <f>HYPERLINK("https://twitter.com/SRGOGOL/status/1065926875065790464","1065926875065790464")</f>
        <v>1065926875065790464</v>
      </c>
      <c r="F105" s="11" t="s">
        <v>42</v>
      </c>
      <c r="G105" s="12"/>
      <c r="H105" s="12"/>
      <c r="I105" s="13">
        <v>0</v>
      </c>
      <c r="J105" s="13">
        <v>1</v>
      </c>
      <c r="K105" s="14" t="str">
        <f>HYPERLINK("http://twitter.com/#!/download/ipad","Twitter for iPad")</f>
        <v>Twitter for iPad</v>
      </c>
      <c r="L105" s="13">
        <v>438</v>
      </c>
      <c r="M105" s="13">
        <v>591</v>
      </c>
      <c r="N105" s="13">
        <v>1</v>
      </c>
      <c r="O105" s="15"/>
      <c r="P105" s="6">
        <v>41630.264814814815</v>
      </c>
      <c r="Q105" s="12"/>
      <c r="R105" s="16" t="s">
        <v>502</v>
      </c>
      <c r="S105" s="12"/>
      <c r="T105" s="12"/>
      <c r="U105" s="10" t="str">
        <f>HYPERLINK("https://pbs.twimg.com/profile_images/893867277149405184/WOa7FAaG.jpg","View")</f>
        <v>View</v>
      </c>
    </row>
    <row r="106" spans="1:21" ht="40.799999999999997">
      <c r="A106" s="6">
        <v>43427.133530092593</v>
      </c>
      <c r="B106" s="7" t="str">
        <f>HYPERLINK("https://twitter.com/josPobleteBrav3","@josPobleteBrav3")</f>
        <v>@josPobleteBrav3</v>
      </c>
      <c r="C106" s="8" t="s">
        <v>503</v>
      </c>
      <c r="D106" s="9" t="s">
        <v>504</v>
      </c>
      <c r="E106" s="10" t="str">
        <f>HYPERLINK("https://twitter.com/josPobleteBrav3/status/1065926002210160641","1065926002210160641")</f>
        <v>1065926002210160641</v>
      </c>
      <c r="F106" s="11" t="s">
        <v>505</v>
      </c>
      <c r="G106" s="12"/>
      <c r="H106" s="12"/>
      <c r="I106" s="13">
        <v>0</v>
      </c>
      <c r="J106" s="13">
        <v>0</v>
      </c>
      <c r="K106" s="14" t="str">
        <f>HYPERLINK("http://twitter.com/download/iphone","Twitter for iPhone")</f>
        <v>Twitter for iPhone</v>
      </c>
      <c r="L106" s="13">
        <v>198</v>
      </c>
      <c r="M106" s="13">
        <v>1014</v>
      </c>
      <c r="N106" s="13">
        <v>1</v>
      </c>
      <c r="O106" s="15"/>
      <c r="P106" s="6">
        <v>43181.238495370373</v>
      </c>
      <c r="Q106" s="17" t="s">
        <v>506</v>
      </c>
      <c r="R106" s="16" t="s">
        <v>507</v>
      </c>
      <c r="S106" s="12"/>
      <c r="T106" s="12"/>
      <c r="U106" s="10" t="str">
        <f>HYPERLINK("https://pbs.twimg.com/profile_images/1005385575388631040/mkstf6vu.jpg","View")</f>
        <v>View</v>
      </c>
    </row>
    <row r="107" spans="1:21" ht="30.6">
      <c r="A107" s="6">
        <v>43427.13175925926</v>
      </c>
      <c r="B107" s="7" t="str">
        <f>HYPERLINK("https://twitter.com/AviToms","@AviToms")</f>
        <v>@AviToms</v>
      </c>
      <c r="C107" s="8" t="s">
        <v>508</v>
      </c>
      <c r="D107" s="9" t="s">
        <v>509</v>
      </c>
      <c r="E107" s="10" t="str">
        <f>HYPERLINK("https://twitter.com/AviToms/status/1065925358418051073","1065925358418051073")</f>
        <v>1065925358418051073</v>
      </c>
      <c r="F107" s="11" t="s">
        <v>292</v>
      </c>
      <c r="G107" s="12"/>
      <c r="H107" s="12"/>
      <c r="I107" s="13">
        <v>0</v>
      </c>
      <c r="J107" s="13">
        <v>0</v>
      </c>
      <c r="K107" s="14" t="str">
        <f>HYPERLINK("http://twitter.com","Twitter Web Client")</f>
        <v>Twitter Web Client</v>
      </c>
      <c r="L107" s="13">
        <v>688</v>
      </c>
      <c r="M107" s="13">
        <v>1104</v>
      </c>
      <c r="N107" s="13">
        <v>1</v>
      </c>
      <c r="O107" s="15"/>
      <c r="P107" s="6">
        <v>41172.4918287037</v>
      </c>
      <c r="Q107" s="17" t="s">
        <v>510</v>
      </c>
      <c r="R107" s="16" t="s">
        <v>511</v>
      </c>
      <c r="S107" s="12"/>
      <c r="T107" s="12"/>
      <c r="U107" s="10" t="str">
        <f>HYPERLINK("https://pbs.twimg.com/profile_images/1037798398055915521/Qn0b3yf6.jpg","View")</f>
        <v>View</v>
      </c>
    </row>
    <row r="108" spans="1:21" ht="20.399999999999999">
      <c r="A108" s="6">
        <v>43427.130925925929</v>
      </c>
      <c r="B108" s="7" t="str">
        <f>HYPERLINK("https://twitter.com/RosaRosavieji1","@RosaRosavieji1")</f>
        <v>@RosaRosavieji1</v>
      </c>
      <c r="C108" s="8" t="s">
        <v>512</v>
      </c>
      <c r="D108" s="9" t="s">
        <v>116</v>
      </c>
      <c r="E108" s="10" t="str">
        <f>HYPERLINK("https://twitter.com/RosaRosavieji1/status/1065925058001018881","1065925058001018881")</f>
        <v>1065925058001018881</v>
      </c>
      <c r="F108" s="11" t="s">
        <v>361</v>
      </c>
      <c r="G108" s="12"/>
      <c r="H108" s="12"/>
      <c r="I108" s="13">
        <v>0</v>
      </c>
      <c r="J108" s="13">
        <v>0</v>
      </c>
      <c r="K108" s="14" t="str">
        <f>HYPERLINK("http://twitter.com/download/android","Twitter for Android")</f>
        <v>Twitter for Android</v>
      </c>
      <c r="L108" s="13">
        <v>2702</v>
      </c>
      <c r="M108" s="13">
        <v>2858</v>
      </c>
      <c r="N108" s="13">
        <v>138</v>
      </c>
      <c r="O108" s="15"/>
      <c r="P108" s="6">
        <v>42043.611851851849</v>
      </c>
      <c r="Q108" s="12"/>
      <c r="R108" s="16" t="s">
        <v>513</v>
      </c>
      <c r="S108" s="12"/>
      <c r="T108" s="12"/>
      <c r="U108" s="10" t="str">
        <f>HYPERLINK("https://pbs.twimg.com/profile_images/565548930206027776/3EudG_tT.jpeg","View")</f>
        <v>View</v>
      </c>
    </row>
    <row r="109" spans="1:21" ht="30.6">
      <c r="A109" s="6">
        <v>43427.129571759258</v>
      </c>
      <c r="B109" s="7" t="str">
        <f>HYPERLINK("https://twitter.com/AitonaCabreado","@AitonaCabreado")</f>
        <v>@AitonaCabreado</v>
      </c>
      <c r="C109" s="8" t="s">
        <v>514</v>
      </c>
      <c r="D109" s="9" t="s">
        <v>45</v>
      </c>
      <c r="E109" s="10" t="str">
        <f>HYPERLINK("https://twitter.com/AitonaCabreado/status/1065924568488058884","1065924568488058884")</f>
        <v>1065924568488058884</v>
      </c>
      <c r="F109" s="11" t="s">
        <v>84</v>
      </c>
      <c r="G109" s="12"/>
      <c r="H109" s="12"/>
      <c r="I109" s="13">
        <v>0</v>
      </c>
      <c r="J109" s="13">
        <v>0</v>
      </c>
      <c r="K109" s="14" t="str">
        <f>HYPERLINK("http://twitter.com","Twitter Web Client")</f>
        <v>Twitter Web Client</v>
      </c>
      <c r="L109" s="13">
        <v>1403</v>
      </c>
      <c r="M109" s="13">
        <v>995</v>
      </c>
      <c r="N109" s="13">
        <v>22</v>
      </c>
      <c r="O109" s="15"/>
      <c r="P109" s="6">
        <v>41096.164826388893</v>
      </c>
      <c r="Q109" s="17" t="s">
        <v>515</v>
      </c>
      <c r="R109" s="16" t="s">
        <v>516</v>
      </c>
      <c r="S109" s="12"/>
      <c r="T109" s="12"/>
      <c r="U109" s="10" t="str">
        <f>HYPERLINK("https://pbs.twimg.com/profile_images/1036207495444946944/89JG5auj.jpg","View")</f>
        <v>View</v>
      </c>
    </row>
    <row r="110" spans="1:21" ht="40.799999999999997">
      <c r="A110" s="6">
        <v>43427.129409722227</v>
      </c>
      <c r="B110" s="7" t="str">
        <f>HYPERLINK("https://twitter.com/VeoInfo_","@VeoInfo_")</f>
        <v>@VeoInfo_</v>
      </c>
      <c r="C110" s="8" t="s">
        <v>517</v>
      </c>
      <c r="D110" s="9" t="s">
        <v>518</v>
      </c>
      <c r="E110" s="10" t="str">
        <f>HYPERLINK("https://twitter.com/VeoInfo_/status/1065924510539571201","1065924510539571201")</f>
        <v>1065924510539571201</v>
      </c>
      <c r="F110" s="17" t="s">
        <v>519</v>
      </c>
      <c r="G110" s="12"/>
      <c r="H110" s="12"/>
      <c r="I110" s="13">
        <v>0</v>
      </c>
      <c r="J110" s="13">
        <v>0</v>
      </c>
      <c r="K110" s="14" t="str">
        <f>HYPERLINK("http://publicize.wp.com/","WordPress.com")</f>
        <v>WordPress.com</v>
      </c>
      <c r="L110" s="13">
        <v>1135</v>
      </c>
      <c r="M110" s="13">
        <v>1139</v>
      </c>
      <c r="N110" s="13">
        <v>36</v>
      </c>
      <c r="O110" s="15"/>
      <c r="P110" s="6">
        <v>41880.726840277777</v>
      </c>
      <c r="Q110" s="17" t="s">
        <v>520</v>
      </c>
      <c r="R110" s="16" t="s">
        <v>521</v>
      </c>
      <c r="S110" s="11" t="s">
        <v>522</v>
      </c>
      <c r="T110" s="12"/>
      <c r="U110" s="10" t="str">
        <f>HYPERLINK("https://pbs.twimg.com/profile_images/601509372305485827/Val0dfGy.png","View")</f>
        <v>View</v>
      </c>
    </row>
    <row r="111" spans="1:21" ht="40.799999999999997">
      <c r="A111" s="6">
        <v>43427.128333333334</v>
      </c>
      <c r="B111" s="7" t="str">
        <f>HYPERLINK("https://twitter.com/FdezSilva","@FdezSilva")</f>
        <v>@FdezSilva</v>
      </c>
      <c r="C111" s="8" t="s">
        <v>523</v>
      </c>
      <c r="D111" s="9" t="s">
        <v>524</v>
      </c>
      <c r="E111" s="10" t="str">
        <f>HYPERLINK("https://twitter.com/FdezSilva/status/1065924120179875840","1065924120179875840")</f>
        <v>1065924120179875840</v>
      </c>
      <c r="F111" s="11" t="s">
        <v>525</v>
      </c>
      <c r="G111" s="12"/>
      <c r="H111" s="12"/>
      <c r="I111" s="13">
        <v>0</v>
      </c>
      <c r="J111" s="13">
        <v>0</v>
      </c>
      <c r="K111" s="14" t="str">
        <f>HYPERLINK("http://twitter.com","Twitter Web Client")</f>
        <v>Twitter Web Client</v>
      </c>
      <c r="L111" s="13">
        <v>1729</v>
      </c>
      <c r="M111" s="13">
        <v>817</v>
      </c>
      <c r="N111" s="13">
        <v>33</v>
      </c>
      <c r="O111" s="15"/>
      <c r="P111" s="6">
        <v>39854.525706018518</v>
      </c>
      <c r="Q111" s="17" t="s">
        <v>526</v>
      </c>
      <c r="R111" s="16" t="s">
        <v>527</v>
      </c>
      <c r="S111" s="11" t="s">
        <v>528</v>
      </c>
      <c r="T111" s="12"/>
      <c r="U111" s="10" t="str">
        <f>HYPERLINK("https://pbs.twimg.com/profile_images/989148095576465408/LF7U7_wN.jpg","View")</f>
        <v>View</v>
      </c>
    </row>
    <row r="112" spans="1:21" ht="20.399999999999999">
      <c r="A112" s="6">
        <v>43427.127581018518</v>
      </c>
      <c r="B112" s="7" t="str">
        <f>HYPERLINK("https://twitter.com/HermanosPelaez","@HermanosPelaez")</f>
        <v>@HermanosPelaez</v>
      </c>
      <c r="C112" s="8" t="s">
        <v>529</v>
      </c>
      <c r="D112" s="9" t="s">
        <v>530</v>
      </c>
      <c r="E112" s="10" t="str">
        <f>HYPERLINK("https://twitter.com/HermanosPelaez/status/1065923844588937218","1065923844588937218")</f>
        <v>1065923844588937218</v>
      </c>
      <c r="F112" s="12"/>
      <c r="G112" s="12"/>
      <c r="H112" s="12"/>
      <c r="I112" s="13">
        <v>0</v>
      </c>
      <c r="J112" s="13">
        <v>4</v>
      </c>
      <c r="K112" s="14" t="str">
        <f t="shared" ref="K112:K113" si="21">HYPERLINK("http://twitter.com/download/android","Twitter for Android")</f>
        <v>Twitter for Android</v>
      </c>
      <c r="L112" s="13">
        <v>8724</v>
      </c>
      <c r="M112" s="13">
        <v>462</v>
      </c>
      <c r="N112" s="13">
        <v>124</v>
      </c>
      <c r="O112" s="15"/>
      <c r="P112" s="6">
        <v>41630.301238425927</v>
      </c>
      <c r="Q112" s="12"/>
      <c r="R112" s="16" t="s">
        <v>531</v>
      </c>
      <c r="S112" s="12"/>
      <c r="T112" s="12"/>
      <c r="U112" s="10" t="str">
        <f>HYPERLINK("https://pbs.twimg.com/profile_images/1057911222606200834/PUmUqvnc.jpg","View")</f>
        <v>View</v>
      </c>
    </row>
    <row r="113" spans="1:21" ht="40.799999999999997">
      <c r="A113" s="6">
        <v>43427.127118055556</v>
      </c>
      <c r="B113" s="7" t="str">
        <f>HYPERLINK("https://twitter.com/PuesRed","@PuesRed")</f>
        <v>@PuesRed</v>
      </c>
      <c r="C113" s="8" t="s">
        <v>532</v>
      </c>
      <c r="D113" s="9" t="s">
        <v>533</v>
      </c>
      <c r="E113" s="10" t="str">
        <f>HYPERLINK("https://twitter.com/PuesRed/status/1065923678339325952","1065923678339325952")</f>
        <v>1065923678339325952</v>
      </c>
      <c r="F113" s="17" t="s">
        <v>534</v>
      </c>
      <c r="G113" s="11" t="s">
        <v>535</v>
      </c>
      <c r="H113" s="12"/>
      <c r="I113" s="13">
        <v>0</v>
      </c>
      <c r="J113" s="13">
        <v>0</v>
      </c>
      <c r="K113" s="14" t="str">
        <f t="shared" si="21"/>
        <v>Twitter for Android</v>
      </c>
      <c r="L113" s="13">
        <v>2373</v>
      </c>
      <c r="M113" s="13">
        <v>126</v>
      </c>
      <c r="N113" s="13">
        <v>18</v>
      </c>
      <c r="O113" s="15"/>
      <c r="P113" s="6">
        <v>40972.589317129634</v>
      </c>
      <c r="Q113" s="17" t="s">
        <v>76</v>
      </c>
      <c r="R113" s="16" t="s">
        <v>536</v>
      </c>
      <c r="S113" s="12"/>
      <c r="T113" s="12"/>
      <c r="U113" s="10" t="str">
        <f>HYPERLINK("https://pbs.twimg.com/profile_images/782306757402058752/00nv57St.jpg","View")</f>
        <v>View</v>
      </c>
    </row>
    <row r="114" spans="1:21" ht="30.6">
      <c r="A114" s="6">
        <v>43427.126736111109</v>
      </c>
      <c r="B114" s="7" t="str">
        <f>HYPERLINK("https://twitter.com/jordimondragon","@jordimondragon")</f>
        <v>@jordimondragon</v>
      </c>
      <c r="C114" s="8" t="s">
        <v>537</v>
      </c>
      <c r="D114" s="9" t="s">
        <v>538</v>
      </c>
      <c r="E114" s="10" t="str">
        <f>HYPERLINK("https://twitter.com/jordimondragon/status/1065923541026115584","1065923541026115584")</f>
        <v>1065923541026115584</v>
      </c>
      <c r="F114" s="11" t="s">
        <v>361</v>
      </c>
      <c r="G114" s="12"/>
      <c r="H114" s="12"/>
      <c r="I114" s="13">
        <v>1</v>
      </c>
      <c r="J114" s="13">
        <v>1</v>
      </c>
      <c r="K114" s="14" t="str">
        <f t="shared" ref="K114:K117" si="22">HYPERLINK("http://twitter.com","Twitter Web Client")</f>
        <v>Twitter Web Client</v>
      </c>
      <c r="L114" s="13">
        <v>5567</v>
      </c>
      <c r="M114" s="13">
        <v>3088</v>
      </c>
      <c r="N114" s="13">
        <v>63</v>
      </c>
      <c r="O114" s="15"/>
      <c r="P114" s="6">
        <v>40349.043715277774</v>
      </c>
      <c r="Q114" s="12"/>
      <c r="R114" s="16" t="s">
        <v>539</v>
      </c>
      <c r="S114" s="11" t="s">
        <v>540</v>
      </c>
      <c r="T114" s="12"/>
      <c r="U114" s="10" t="str">
        <f>HYPERLINK("https://pbs.twimg.com/profile_images/985075104387387392/0rx60vk9.jpg","View")</f>
        <v>View</v>
      </c>
    </row>
    <row r="115" spans="1:21" ht="30.6">
      <c r="A115" s="6">
        <v>43427.125868055555</v>
      </c>
      <c r="B115" s="7" t="str">
        <f>HYPERLINK("https://twitter.com/luisdecairo","@luisdecairo")</f>
        <v>@luisdecairo</v>
      </c>
      <c r="C115" s="8" t="s">
        <v>541</v>
      </c>
      <c r="D115" s="9" t="s">
        <v>45</v>
      </c>
      <c r="E115" s="10" t="str">
        <f>HYPERLINK("https://twitter.com/luisdecairo/status/1065923226608517121","1065923226608517121")</f>
        <v>1065923226608517121</v>
      </c>
      <c r="F115" s="11" t="s">
        <v>84</v>
      </c>
      <c r="G115" s="12"/>
      <c r="H115" s="12"/>
      <c r="I115" s="13">
        <v>0</v>
      </c>
      <c r="J115" s="13">
        <v>0</v>
      </c>
      <c r="K115" s="14" t="str">
        <f t="shared" si="22"/>
        <v>Twitter Web Client</v>
      </c>
      <c r="L115" s="13">
        <v>667</v>
      </c>
      <c r="M115" s="13">
        <v>1148</v>
      </c>
      <c r="N115" s="13">
        <v>14</v>
      </c>
      <c r="O115" s="15"/>
      <c r="P115" s="6">
        <v>41388.394780092596</v>
      </c>
      <c r="Q115" s="17" t="s">
        <v>542</v>
      </c>
      <c r="R115" s="16" t="s">
        <v>543</v>
      </c>
      <c r="S115" s="12"/>
      <c r="T115" s="12"/>
      <c r="U115" s="10" t="str">
        <f>HYPERLINK("https://pbs.twimg.com/profile_images/971895609920774145/LsoSGx_g.jpg","View")</f>
        <v>View</v>
      </c>
    </row>
    <row r="116" spans="1:21" ht="20.399999999999999">
      <c r="A116" s="6">
        <v>43427.124479166669</v>
      </c>
      <c r="B116" s="7" t="str">
        <f>HYPERLINK("https://twitter.com/marianofake","@marianofake")</f>
        <v>@marianofake</v>
      </c>
      <c r="C116" s="8" t="s">
        <v>544</v>
      </c>
      <c r="D116" s="9" t="s">
        <v>545</v>
      </c>
      <c r="E116" s="10" t="str">
        <f>HYPERLINK("https://twitter.com/marianofake/status/1065922721366847488","1065922721366847488")</f>
        <v>1065922721366847488</v>
      </c>
      <c r="F116" s="12"/>
      <c r="G116" s="11" t="s">
        <v>546</v>
      </c>
      <c r="H116" s="12"/>
      <c r="I116" s="13">
        <v>7</v>
      </c>
      <c r="J116" s="13">
        <v>5</v>
      </c>
      <c r="K116" s="14" t="str">
        <f t="shared" si="22"/>
        <v>Twitter Web Client</v>
      </c>
      <c r="L116" s="13">
        <v>6041</v>
      </c>
      <c r="M116" s="13">
        <v>3162</v>
      </c>
      <c r="N116" s="13">
        <v>19</v>
      </c>
      <c r="O116" s="15"/>
      <c r="P116" s="6">
        <v>42101.300752314812</v>
      </c>
      <c r="Q116" s="12"/>
      <c r="R116" s="16" t="s">
        <v>547</v>
      </c>
      <c r="S116" s="12"/>
      <c r="T116" s="12"/>
      <c r="U116" s="10" t="str">
        <f>HYPERLINK("https://pbs.twimg.com/profile_images/865123852795367424/p4pK2M21.jpg","View")</f>
        <v>View</v>
      </c>
    </row>
    <row r="117" spans="1:21" ht="51">
      <c r="A117" s="6">
        <v>43427.122465277775</v>
      </c>
      <c r="B117" s="7" t="str">
        <f>HYPERLINK("https://twitter.com/L_Valli","@L_Valli")</f>
        <v>@L_Valli</v>
      </c>
      <c r="C117" s="8" t="s">
        <v>548</v>
      </c>
      <c r="D117" s="9" t="s">
        <v>549</v>
      </c>
      <c r="E117" s="10" t="str">
        <f>HYPERLINK("https://twitter.com/L_Valli/status/1065921990782009346","1065921990782009346")</f>
        <v>1065921990782009346</v>
      </c>
      <c r="F117" s="11" t="s">
        <v>84</v>
      </c>
      <c r="G117" s="12"/>
      <c r="H117" s="12"/>
      <c r="I117" s="13">
        <v>0</v>
      </c>
      <c r="J117" s="13">
        <v>0</v>
      </c>
      <c r="K117" s="14" t="str">
        <f t="shared" si="22"/>
        <v>Twitter Web Client</v>
      </c>
      <c r="L117" s="13">
        <v>57</v>
      </c>
      <c r="M117" s="13">
        <v>248</v>
      </c>
      <c r="N117" s="13">
        <v>4</v>
      </c>
      <c r="O117" s="15"/>
      <c r="P117" s="6">
        <v>40680.572233796294</v>
      </c>
      <c r="Q117" s="17" t="s">
        <v>550</v>
      </c>
      <c r="R117" s="16" t="s">
        <v>551</v>
      </c>
      <c r="S117" s="12"/>
      <c r="T117" s="12"/>
      <c r="U117" s="10" t="str">
        <f>HYPERLINK("https://pbs.twimg.com/profile_images/1001015265423953920/FhfgNI9J.jpg","View")</f>
        <v>View</v>
      </c>
    </row>
    <row r="118" spans="1:21" ht="40.799999999999997">
      <c r="A118" s="6">
        <v>43427.119618055556</v>
      </c>
      <c r="B118" s="7" t="str">
        <f>HYPERLINK("https://twitter.com/Capitan2piR","@Capitan2piR")</f>
        <v>@Capitan2piR</v>
      </c>
      <c r="C118" s="8" t="s">
        <v>552</v>
      </c>
      <c r="D118" s="9" t="s">
        <v>553</v>
      </c>
      <c r="E118" s="10" t="str">
        <f>HYPERLINK("https://twitter.com/Capitan2piR/status/1065920960774225920","1065920960774225920")</f>
        <v>1065920960774225920</v>
      </c>
      <c r="F118" s="11" t="s">
        <v>555</v>
      </c>
      <c r="G118" s="12"/>
      <c r="H118" s="12"/>
      <c r="I118" s="13">
        <v>0</v>
      </c>
      <c r="J118" s="13">
        <v>0</v>
      </c>
      <c r="K118" s="14" t="str">
        <f>HYPERLINK("http://www.facebook.com/twitter","Facebook")</f>
        <v>Facebook</v>
      </c>
      <c r="L118" s="13">
        <v>285</v>
      </c>
      <c r="M118" s="13">
        <v>568</v>
      </c>
      <c r="N118" s="13">
        <v>2</v>
      </c>
      <c r="O118" s="15"/>
      <c r="P118" s="6">
        <v>41650.579594907409</v>
      </c>
      <c r="Q118" s="17" t="s">
        <v>556</v>
      </c>
      <c r="R118" s="16" t="s">
        <v>557</v>
      </c>
      <c r="S118" s="12"/>
      <c r="T118" s="12"/>
      <c r="U118" s="10" t="str">
        <f>HYPERLINK("https://pbs.twimg.com/profile_images/939076760825729024/GWLrSvj5.jpg","View")</f>
        <v>View</v>
      </c>
    </row>
    <row r="119" spans="1:21" ht="40.799999999999997">
      <c r="A119" s="6">
        <v>43427.118622685186</v>
      </c>
      <c r="B119" s="7" t="str">
        <f>HYPERLINK("https://twitter.com/proyectocosme","@proyectocosme")</f>
        <v>@proyectocosme</v>
      </c>
      <c r="C119" s="8" t="s">
        <v>560</v>
      </c>
      <c r="D119" s="9" t="s">
        <v>561</v>
      </c>
      <c r="E119" s="10" t="str">
        <f>HYPERLINK("https://twitter.com/proyectocosme/status/1065920600030568451","1065920600030568451")</f>
        <v>1065920600030568451</v>
      </c>
      <c r="F119" s="11" t="s">
        <v>562</v>
      </c>
      <c r="G119" s="12"/>
      <c r="H119" s="12"/>
      <c r="I119" s="13">
        <v>0</v>
      </c>
      <c r="J119" s="13">
        <v>0</v>
      </c>
      <c r="K119" s="14" t="str">
        <f>HYPERLINK("http://twitter.com","Twitter Web Client")</f>
        <v>Twitter Web Client</v>
      </c>
      <c r="L119" s="13">
        <v>2021</v>
      </c>
      <c r="M119" s="13">
        <v>1826</v>
      </c>
      <c r="N119" s="13">
        <v>24</v>
      </c>
      <c r="O119" s="15"/>
      <c r="P119" s="6">
        <v>41270.13144675926</v>
      </c>
      <c r="Q119" s="17" t="s">
        <v>29</v>
      </c>
      <c r="R119" s="16" t="s">
        <v>563</v>
      </c>
      <c r="S119" s="11" t="s">
        <v>564</v>
      </c>
      <c r="T119" s="12"/>
      <c r="U119" s="10" t="str">
        <f>HYPERLINK("https://pbs.twimg.com/profile_images/749922193254080513/8fRo8fIL.jpg","View")</f>
        <v>View</v>
      </c>
    </row>
    <row r="120" spans="1:21" ht="30.6">
      <c r="A120" s="6">
        <v>43427.118159722224</v>
      </c>
      <c r="B120" s="7" t="str">
        <f>HYPERLINK("https://twitter.com/videcelta","@videcelta")</f>
        <v>@videcelta</v>
      </c>
      <c r="C120" s="8" t="s">
        <v>565</v>
      </c>
      <c r="D120" s="9" t="s">
        <v>116</v>
      </c>
      <c r="E120" s="10" t="str">
        <f>HYPERLINK("https://twitter.com/videcelta/status/1065920432086364161","1065920432086364161")</f>
        <v>1065920432086364161</v>
      </c>
      <c r="F120" s="11" t="s">
        <v>166</v>
      </c>
      <c r="G120" s="12"/>
      <c r="H120" s="12"/>
      <c r="I120" s="13">
        <v>0</v>
      </c>
      <c r="J120" s="13">
        <v>0</v>
      </c>
      <c r="K120" s="14" t="str">
        <f>HYPERLINK("http://www.facebook.com/twitter","Facebook")</f>
        <v>Facebook</v>
      </c>
      <c r="L120" s="13">
        <v>540</v>
      </c>
      <c r="M120" s="13">
        <v>1980</v>
      </c>
      <c r="N120" s="13">
        <v>8</v>
      </c>
      <c r="O120" s="15"/>
      <c r="P120" s="6">
        <v>40190.505729166667</v>
      </c>
      <c r="Q120" s="17" t="s">
        <v>567</v>
      </c>
      <c r="R120" s="16" t="s">
        <v>568</v>
      </c>
      <c r="S120" s="11" t="s">
        <v>569</v>
      </c>
      <c r="T120" s="12"/>
      <c r="U120" s="10" t="str">
        <f>HYPERLINK("https://pbs.twimg.com/profile_images/473781587033985024/i7lxqPHT.jpeg","View")</f>
        <v>View</v>
      </c>
    </row>
    <row r="121" spans="1:21" ht="51">
      <c r="A121" s="6">
        <v>43427.11782407407</v>
      </c>
      <c r="B121" s="7" t="str">
        <f>HYPERLINK("https://twitter.com/MDOLORESSNCHEZ","@MDOLORESSNCHEZ")</f>
        <v>@MDOLORESSNCHEZ</v>
      </c>
      <c r="C121" s="8" t="s">
        <v>570</v>
      </c>
      <c r="D121" s="9" t="s">
        <v>571</v>
      </c>
      <c r="E121" s="10" t="str">
        <f>HYPERLINK("https://twitter.com/MDOLORESSNCHEZ/status/1065920311042945024","1065920311042945024")</f>
        <v>1065920311042945024</v>
      </c>
      <c r="F121" s="11" t="s">
        <v>84</v>
      </c>
      <c r="G121" s="12"/>
      <c r="H121" s="12"/>
      <c r="I121" s="13">
        <v>0</v>
      </c>
      <c r="J121" s="13">
        <v>0</v>
      </c>
      <c r="K121" s="14" t="str">
        <f>HYPERLINK("http://twitter.com","Twitter Web Client")</f>
        <v>Twitter Web Client</v>
      </c>
      <c r="L121" s="13">
        <v>1004</v>
      </c>
      <c r="M121" s="13">
        <v>704</v>
      </c>
      <c r="N121" s="13">
        <v>29</v>
      </c>
      <c r="O121" s="15"/>
      <c r="P121" s="6">
        <v>41256.134479166663</v>
      </c>
      <c r="Q121" s="12"/>
      <c r="R121" s="18"/>
      <c r="S121" s="12"/>
      <c r="T121" s="12"/>
      <c r="U121" s="10" t="str">
        <f>HYPERLINK("https://pbs.twimg.com/profile_images/859419904981647360/yLCVmofU.jpg","View")</f>
        <v>View</v>
      </c>
    </row>
    <row r="122" spans="1:21" ht="40.799999999999997">
      <c r="A122" s="6">
        <v>43427.117662037039</v>
      </c>
      <c r="B122" s="7" t="str">
        <f>HYPERLINK("https://twitter.com/PartidoRepEs","@PartidoRepEs")</f>
        <v>@PartidoRepEs</v>
      </c>
      <c r="C122" s="8" t="s">
        <v>573</v>
      </c>
      <c r="D122" s="9" t="s">
        <v>574</v>
      </c>
      <c r="E122" s="10" t="str">
        <f>HYPERLINK("https://twitter.com/PartidoRepEs/status/1065920251169316864","1065920251169316864")</f>
        <v>1065920251169316864</v>
      </c>
      <c r="F122" s="11" t="s">
        <v>47</v>
      </c>
      <c r="G122" s="12"/>
      <c r="H122" s="12"/>
      <c r="I122" s="13">
        <v>0</v>
      </c>
      <c r="J122" s="13">
        <v>0</v>
      </c>
      <c r="K122" s="14" t="str">
        <f>HYPERLINK("http://twitter.com/download/android","Twitter for Android")</f>
        <v>Twitter for Android</v>
      </c>
      <c r="L122" s="13">
        <v>4374</v>
      </c>
      <c r="M122" s="13">
        <v>4995</v>
      </c>
      <c r="N122" s="13">
        <v>25</v>
      </c>
      <c r="O122" s="15"/>
      <c r="P122" s="6">
        <v>42183.345682870371</v>
      </c>
      <c r="Q122" s="12"/>
      <c r="R122" s="16" t="s">
        <v>575</v>
      </c>
      <c r="S122" s="11" t="s">
        <v>576</v>
      </c>
      <c r="T122" s="12"/>
      <c r="U122" s="10" t="str">
        <f>HYPERLINK("https://pbs.twimg.com/profile_images/615180335417040901/p8IX-96B.jpg","View")</f>
        <v>View</v>
      </c>
    </row>
    <row r="123" spans="1:21" ht="40.799999999999997">
      <c r="A123" s="6">
        <v>43427.113506944443</v>
      </c>
      <c r="B123" s="7" t="str">
        <f>HYPERLINK("https://twitter.com/b_estrella","@b_estrella")</f>
        <v>@b_estrella</v>
      </c>
      <c r="C123" s="8" t="s">
        <v>581</v>
      </c>
      <c r="D123" s="9" t="s">
        <v>582</v>
      </c>
      <c r="E123" s="10" t="str">
        <f>HYPERLINK("https://twitter.com/b_estrella/status/1065918745984552960","1065918745984552960")</f>
        <v>1065918745984552960</v>
      </c>
      <c r="F123" s="11" t="s">
        <v>583</v>
      </c>
      <c r="G123" s="12"/>
      <c r="H123" s="12"/>
      <c r="I123" s="13">
        <v>0</v>
      </c>
      <c r="J123" s="13">
        <v>0</v>
      </c>
      <c r="K123" s="14" t="str">
        <f>HYPERLINK("http://twitter.com","Twitter Web Client")</f>
        <v>Twitter Web Client</v>
      </c>
      <c r="L123" s="13">
        <v>728</v>
      </c>
      <c r="M123" s="13">
        <v>2431</v>
      </c>
      <c r="N123" s="13">
        <v>9</v>
      </c>
      <c r="O123" s="15"/>
      <c r="P123" s="6">
        <v>40760.225590277776</v>
      </c>
      <c r="Q123" s="17" t="s">
        <v>584</v>
      </c>
      <c r="R123" s="16" t="s">
        <v>585</v>
      </c>
      <c r="S123" s="12"/>
      <c r="T123" s="12"/>
      <c r="U123" s="10" t="str">
        <f>HYPERLINK("https://pbs.twimg.com/profile_images/616664796507844609/Zv41DCJ8.jpg","View")</f>
        <v>View</v>
      </c>
    </row>
    <row r="124" spans="1:21" ht="20.399999999999999">
      <c r="A124" s="6">
        <v>43427.112534722226</v>
      </c>
      <c r="B124" s="7" t="str">
        <f>HYPERLINK("https://twitter.com/diegocruzblog","@diegocruzblog")</f>
        <v>@diegocruzblog</v>
      </c>
      <c r="C124" s="8" t="s">
        <v>586</v>
      </c>
      <c r="D124" s="9" t="s">
        <v>587</v>
      </c>
      <c r="E124" s="10" t="str">
        <f>HYPERLINK("https://twitter.com/diegocruzblog/status/1065918393621114881","1065918393621114881")</f>
        <v>1065918393621114881</v>
      </c>
      <c r="F124" s="11" t="s">
        <v>588</v>
      </c>
      <c r="G124" s="12"/>
      <c r="H124" s="12"/>
      <c r="I124" s="13">
        <v>0</v>
      </c>
      <c r="J124" s="13">
        <v>0</v>
      </c>
      <c r="K124" s="14" t="str">
        <f>HYPERLINK("http://twitter.com/download/android","Twitter for Android")</f>
        <v>Twitter for Android</v>
      </c>
      <c r="L124" s="13">
        <v>24176</v>
      </c>
      <c r="M124" s="13">
        <v>22088</v>
      </c>
      <c r="N124" s="13">
        <v>538</v>
      </c>
      <c r="O124" s="15"/>
      <c r="P124" s="6">
        <v>39465.045439814814</v>
      </c>
      <c r="Q124" s="17" t="s">
        <v>589</v>
      </c>
      <c r="R124" s="16" t="s">
        <v>590</v>
      </c>
      <c r="S124" s="11" t="s">
        <v>591</v>
      </c>
      <c r="T124" s="12"/>
      <c r="U124" s="10" t="str">
        <f>HYPERLINK("https://pbs.twimg.com/profile_images/957406979936448513/tF4hyXi5.jpg","View")</f>
        <v>View</v>
      </c>
    </row>
    <row r="125" spans="1:21" ht="30.6">
      <c r="A125" s="6">
        <v>43427.112013888887</v>
      </c>
      <c r="B125" s="7" t="str">
        <f>HYPERLINK("https://twitter.com/ngarrigosp","@ngarrigosp")</f>
        <v>@ngarrigosp</v>
      </c>
      <c r="C125" s="8" t="s">
        <v>592</v>
      </c>
      <c r="D125" s="9" t="s">
        <v>45</v>
      </c>
      <c r="E125" s="10" t="str">
        <f>HYPERLINK("https://twitter.com/ngarrigosp/status/1065918203895996416","1065918203895996416")</f>
        <v>1065918203895996416</v>
      </c>
      <c r="F125" s="11" t="s">
        <v>47</v>
      </c>
      <c r="G125" s="12"/>
      <c r="H125" s="12"/>
      <c r="I125" s="13">
        <v>0</v>
      </c>
      <c r="J125" s="13">
        <v>0</v>
      </c>
      <c r="K125" s="14" t="str">
        <f>HYPERLINK("http://twitter.com","Twitter Web Client")</f>
        <v>Twitter Web Client</v>
      </c>
      <c r="L125" s="13">
        <v>2288</v>
      </c>
      <c r="M125" s="13">
        <v>2094</v>
      </c>
      <c r="N125" s="13">
        <v>37</v>
      </c>
      <c r="O125" s="15"/>
      <c r="P125" s="6">
        <v>40614.384479166663</v>
      </c>
      <c r="Q125" s="17" t="s">
        <v>593</v>
      </c>
      <c r="R125" s="16" t="s">
        <v>594</v>
      </c>
      <c r="S125" s="12"/>
      <c r="T125" s="12"/>
      <c r="U125" s="10" t="str">
        <f>HYPERLINK("https://pbs.twimg.com/profile_images/1063053738984792065/R8V_d1iR.jpg","View")</f>
        <v>View</v>
      </c>
    </row>
    <row r="126" spans="1:21" ht="40.799999999999997">
      <c r="A126" s="6">
        <v>43427.111307870371</v>
      </c>
      <c r="B126" s="7" t="str">
        <f>HYPERLINK("https://twitter.com/JOSANTONIOLVAR2","@JOSANTONIOLVAR2")</f>
        <v>@JOSANTONIOLVAR2</v>
      </c>
      <c r="C126" s="8" t="s">
        <v>595</v>
      </c>
      <c r="D126" s="9" t="s">
        <v>45</v>
      </c>
      <c r="E126" s="10" t="str">
        <f>HYPERLINK("https://twitter.com/JOSANTONIOLVAR2/status/1065917949268119552","1065917949268119552")</f>
        <v>1065917949268119552</v>
      </c>
      <c r="F126" s="11" t="s">
        <v>47</v>
      </c>
      <c r="G126" s="12"/>
      <c r="H126" s="12"/>
      <c r="I126" s="13">
        <v>0</v>
      </c>
      <c r="J126" s="13">
        <v>0</v>
      </c>
      <c r="K126" s="14" t="str">
        <f t="shared" ref="K126:K127" si="23">HYPERLINK("http://twitter.com/download/android","Twitter for Android")</f>
        <v>Twitter for Android</v>
      </c>
      <c r="L126" s="13">
        <v>624</v>
      </c>
      <c r="M126" s="13">
        <v>1036</v>
      </c>
      <c r="N126" s="13">
        <v>18</v>
      </c>
      <c r="O126" s="15"/>
      <c r="P126" s="6">
        <v>41802.196238425924</v>
      </c>
      <c r="Q126" s="17" t="s">
        <v>596</v>
      </c>
      <c r="R126" s="16" t="s">
        <v>597</v>
      </c>
      <c r="S126" s="12"/>
      <c r="T126" s="12"/>
      <c r="U126" s="10" t="str">
        <f>HYPERLINK("https://pbs.twimg.com/profile_images/753582355936313345/l4jXSrrE.jpg","View")</f>
        <v>View</v>
      </c>
    </row>
    <row r="127" spans="1:21" ht="30.6">
      <c r="A127" s="6">
        <v>43427.111076388886</v>
      </c>
      <c r="B127" s="7" t="str">
        <f>HYPERLINK("https://twitter.com/pacohortado","@pacohortado")</f>
        <v>@pacohortado</v>
      </c>
      <c r="C127" s="8" t="s">
        <v>598</v>
      </c>
      <c r="D127" s="9" t="s">
        <v>599</v>
      </c>
      <c r="E127" s="10" t="str">
        <f>HYPERLINK("https://twitter.com/pacohortado/status/1065917865075908613","1065917865075908613")</f>
        <v>1065917865075908613</v>
      </c>
      <c r="F127" s="12"/>
      <c r="G127" s="12"/>
      <c r="H127" s="12"/>
      <c r="I127" s="13">
        <v>0</v>
      </c>
      <c r="J127" s="13">
        <v>0</v>
      </c>
      <c r="K127" s="14" t="str">
        <f t="shared" si="23"/>
        <v>Twitter for Android</v>
      </c>
      <c r="L127" s="13">
        <v>2494</v>
      </c>
      <c r="M127" s="13">
        <v>1906</v>
      </c>
      <c r="N127" s="13">
        <v>47</v>
      </c>
      <c r="O127" s="15"/>
      <c r="P127" s="6">
        <v>40957.509305555555</v>
      </c>
      <c r="Q127" s="12"/>
      <c r="R127" s="16" t="s">
        <v>600</v>
      </c>
      <c r="S127" s="12"/>
      <c r="T127" s="12"/>
      <c r="U127" s="10" t="str">
        <f>HYPERLINK("https://pbs.twimg.com/profile_images/614868273948180480/ByNs7DtV.png","View")</f>
        <v>View</v>
      </c>
    </row>
    <row r="128" spans="1:21" ht="30.6">
      <c r="A128" s="6">
        <v>43427.110289351855</v>
      </c>
      <c r="B128" s="7" t="str">
        <f>HYPERLINK("https://twitter.com/zoteiro","@zoteiro")</f>
        <v>@zoteiro</v>
      </c>
      <c r="C128" s="8" t="s">
        <v>601</v>
      </c>
      <c r="D128" s="9" t="s">
        <v>602</v>
      </c>
      <c r="E128" s="10" t="str">
        <f>HYPERLINK("https://twitter.com/zoteiro/status/1065917579015929856","1065917579015929856")</f>
        <v>1065917579015929856</v>
      </c>
      <c r="F128" s="12"/>
      <c r="G128" s="12"/>
      <c r="H128" s="12"/>
      <c r="I128" s="13">
        <v>0</v>
      </c>
      <c r="J128" s="13">
        <v>1</v>
      </c>
      <c r="K128" s="14" t="str">
        <f>HYPERLINK("http://twitter.com","Twitter Web Client")</f>
        <v>Twitter Web Client</v>
      </c>
      <c r="L128" s="13">
        <v>667</v>
      </c>
      <c r="M128" s="13">
        <v>654</v>
      </c>
      <c r="N128" s="13">
        <v>0</v>
      </c>
      <c r="O128" s="15"/>
      <c r="P128" s="6">
        <v>42908.267314814817</v>
      </c>
      <c r="Q128" s="12"/>
      <c r="R128" s="18"/>
      <c r="S128" s="12"/>
      <c r="T128" s="12"/>
      <c r="U128" s="10" t="str">
        <f>HYPERLINK("https://pbs.twimg.com/profile_images/1011270132306497537/fLkXfy33.jpg","View")</f>
        <v>View</v>
      </c>
    </row>
    <row r="129" spans="1:21" ht="51">
      <c r="A129" s="6">
        <v>43427.110138888893</v>
      </c>
      <c r="B129" s="7" t="str">
        <f>HYPERLINK("https://twitter.com/RemediosRamos1","@RemediosRamos1")</f>
        <v>@RemediosRamos1</v>
      </c>
      <c r="C129" s="8" t="s">
        <v>603</v>
      </c>
      <c r="D129" s="9" t="s">
        <v>604</v>
      </c>
      <c r="E129" s="10" t="str">
        <f>HYPERLINK("https://twitter.com/RemediosRamos1/status/1065917523462369280","1065917523462369280")</f>
        <v>1065917523462369280</v>
      </c>
      <c r="F129" s="11" t="s">
        <v>292</v>
      </c>
      <c r="G129" s="12"/>
      <c r="H129" s="12"/>
      <c r="I129" s="13">
        <v>6</v>
      </c>
      <c r="J129" s="13">
        <v>6</v>
      </c>
      <c r="K129" s="14" t="str">
        <f>HYPERLINK("http://twitter.com/download/android","Twitter for Android")</f>
        <v>Twitter for Android</v>
      </c>
      <c r="L129" s="13">
        <v>5183</v>
      </c>
      <c r="M129" s="13">
        <v>3261</v>
      </c>
      <c r="N129" s="13">
        <v>53</v>
      </c>
      <c r="O129" s="15"/>
      <c r="P129" s="6">
        <v>41101.267187500001</v>
      </c>
      <c r="Q129" s="12"/>
      <c r="R129" s="16" t="s">
        <v>605</v>
      </c>
      <c r="S129" s="12"/>
      <c r="T129" s="12"/>
      <c r="U129" s="10" t="str">
        <f>HYPERLINK("https://pbs.twimg.com/profile_images/739877584607924224/8I__L1vx.jpg","View")</f>
        <v>View</v>
      </c>
    </row>
    <row r="130" spans="1:21" ht="30.6">
      <c r="A130" s="6">
        <v>43427.1096412037</v>
      </c>
      <c r="B130" s="7" t="str">
        <f>HYPERLINK("https://twitter.com/DoriFernndez4","@DoriFernndez4")</f>
        <v>@DoriFernndez4</v>
      </c>
      <c r="C130" s="8" t="s">
        <v>606</v>
      </c>
      <c r="D130" s="9" t="s">
        <v>45</v>
      </c>
      <c r="E130" s="10" t="str">
        <f>HYPERLINK("https://twitter.com/DoriFernndez4/status/1065917343673536512","1065917343673536512")</f>
        <v>1065917343673536512</v>
      </c>
      <c r="F130" s="11" t="s">
        <v>84</v>
      </c>
      <c r="G130" s="12"/>
      <c r="H130" s="12"/>
      <c r="I130" s="13">
        <v>0</v>
      </c>
      <c r="J130" s="13">
        <v>0</v>
      </c>
      <c r="K130" s="14" t="str">
        <f>HYPERLINK("http://twitter.com","Twitter Web Client")</f>
        <v>Twitter Web Client</v>
      </c>
      <c r="L130" s="13">
        <v>197</v>
      </c>
      <c r="M130" s="13">
        <v>438</v>
      </c>
      <c r="N130" s="13">
        <v>1</v>
      </c>
      <c r="O130" s="15"/>
      <c r="P130" s="6">
        <v>43381.180405092593</v>
      </c>
      <c r="Q130" s="17" t="s">
        <v>550</v>
      </c>
      <c r="R130" s="16" t="s">
        <v>607</v>
      </c>
      <c r="S130" s="11" t="s">
        <v>608</v>
      </c>
      <c r="T130" s="12"/>
      <c r="U130" s="10" t="str">
        <f>HYPERLINK("https://pbs.twimg.com/profile_images/1049260259129397249/97vSWzSu.jpg","View")</f>
        <v>View</v>
      </c>
    </row>
    <row r="131" spans="1:21" ht="40.799999999999997">
      <c r="A131" s="6">
        <v>43427.108969907407</v>
      </c>
      <c r="B131" s="7" t="str">
        <f>HYPERLINK("https://twitter.com/RamirezV_Manuel","@RamirezV_Manuel")</f>
        <v>@RamirezV_Manuel</v>
      </c>
      <c r="C131" s="8" t="s">
        <v>609</v>
      </c>
      <c r="D131" s="9" t="s">
        <v>610</v>
      </c>
      <c r="E131" s="10" t="str">
        <f>HYPERLINK("https://twitter.com/RamirezV_Manuel/status/1065917103335751681","1065917103335751681")</f>
        <v>1065917103335751681</v>
      </c>
      <c r="F131" s="12"/>
      <c r="G131" s="12"/>
      <c r="H131" s="12"/>
      <c r="I131" s="13">
        <v>0</v>
      </c>
      <c r="J131" s="13">
        <v>1</v>
      </c>
      <c r="K131" s="14" t="str">
        <f>HYPERLINK("http://twitter.com/download/android","Twitter for Android")</f>
        <v>Twitter for Android</v>
      </c>
      <c r="L131" s="13">
        <v>269</v>
      </c>
      <c r="M131" s="13">
        <v>272</v>
      </c>
      <c r="N131" s="13">
        <v>11</v>
      </c>
      <c r="O131" s="15"/>
      <c r="P131" s="6">
        <v>42373.13553240741</v>
      </c>
      <c r="Q131" s="17" t="s">
        <v>26</v>
      </c>
      <c r="R131" s="16" t="s">
        <v>611</v>
      </c>
      <c r="S131" s="12"/>
      <c r="T131" s="12"/>
      <c r="U131" s="10" t="str">
        <f>HYPERLINK("https://pbs.twimg.com/profile_images/937344066886537216/Uy5Flz98.jpg","View")</f>
        <v>View</v>
      </c>
    </row>
    <row r="132" spans="1:21" ht="30.6">
      <c r="A132" s="6">
        <v>43427.108599537038</v>
      </c>
      <c r="B132" s="7" t="str">
        <f>HYPERLINK("https://twitter.com/fesmcugtaragon","@fesmcugtaragon")</f>
        <v>@fesmcugtaragon</v>
      </c>
      <c r="C132" s="8" t="s">
        <v>612</v>
      </c>
      <c r="D132" s="9" t="s">
        <v>613</v>
      </c>
      <c r="E132" s="10" t="str">
        <f>HYPERLINK("https://twitter.com/fesmcugtaragon/status/1065916965909344257","1065916965909344257")</f>
        <v>1065916965909344257</v>
      </c>
      <c r="F132" s="11" t="s">
        <v>42</v>
      </c>
      <c r="G132" s="12"/>
      <c r="H132" s="12"/>
      <c r="I132" s="13">
        <v>0</v>
      </c>
      <c r="J132" s="13">
        <v>0</v>
      </c>
      <c r="K132" s="14" t="str">
        <f>HYPERLINK("http://twitter.com","Twitter Web Client")</f>
        <v>Twitter Web Client</v>
      </c>
      <c r="L132" s="13">
        <v>3188</v>
      </c>
      <c r="M132" s="13">
        <v>3769</v>
      </c>
      <c r="N132" s="13">
        <v>83</v>
      </c>
      <c r="O132" s="15"/>
      <c r="P132" s="6">
        <v>40133.204444444447</v>
      </c>
      <c r="Q132" s="17" t="s">
        <v>615</v>
      </c>
      <c r="R132" s="16" t="s">
        <v>616</v>
      </c>
      <c r="S132" s="11" t="s">
        <v>617</v>
      </c>
      <c r="T132" s="12"/>
      <c r="U132" s="10" t="str">
        <f>HYPERLINK("https://pbs.twimg.com/profile_images/740808612298166272/TMGFkDg8.jpg","View")</f>
        <v>View</v>
      </c>
    </row>
    <row r="133" spans="1:21" ht="40.799999999999997">
      <c r="A133" s="6">
        <v>43427.107986111107</v>
      </c>
      <c r="B133" s="7" t="str">
        <f>HYPERLINK("https://twitter.com/JoseLui56432410","@JoseLui56432410")</f>
        <v>@JoseLui56432410</v>
      </c>
      <c r="C133" s="8" t="s">
        <v>619</v>
      </c>
      <c r="D133" s="9" t="s">
        <v>620</v>
      </c>
      <c r="E133" s="10" t="str">
        <f>HYPERLINK("https://twitter.com/JoseLui56432410/status/1065916743980322816","1065916743980322816")</f>
        <v>1065916743980322816</v>
      </c>
      <c r="F133" s="11" t="s">
        <v>42</v>
      </c>
      <c r="G133" s="12"/>
      <c r="H133" s="12"/>
      <c r="I133" s="13">
        <v>0</v>
      </c>
      <c r="J133" s="13">
        <v>0</v>
      </c>
      <c r="K133" s="14" t="str">
        <f>HYPERLINK("http://www.facebook.com/twitter","Facebook")</f>
        <v>Facebook</v>
      </c>
      <c r="L133" s="13">
        <v>378</v>
      </c>
      <c r="M133" s="13">
        <v>400</v>
      </c>
      <c r="N133" s="13">
        <v>14</v>
      </c>
      <c r="O133" s="15"/>
      <c r="P133" s="6">
        <v>41046.608993055554</v>
      </c>
      <c r="Q133" s="17" t="s">
        <v>76</v>
      </c>
      <c r="R133" s="16" t="s">
        <v>621</v>
      </c>
      <c r="S133" s="12"/>
      <c r="T133" s="12"/>
      <c r="U133" s="10" t="str">
        <f>HYPERLINK("https://pbs.twimg.com/profile_images/1000422001398427648/dVAfcPvy.jpg","View")</f>
        <v>View</v>
      </c>
    </row>
    <row r="134" spans="1:21" ht="40.799999999999997">
      <c r="A134" s="6">
        <v>43427.10738425926</v>
      </c>
      <c r="B134" s="7" t="str">
        <f>HYPERLINK("https://twitter.com/carlosghh","@carlosghh")</f>
        <v>@carlosghh</v>
      </c>
      <c r="C134" s="8" t="s">
        <v>622</v>
      </c>
      <c r="D134" s="9" t="s">
        <v>623</v>
      </c>
      <c r="E134" s="10" t="str">
        <f>HYPERLINK("https://twitter.com/carlosghh/status/1065916528804143105","1065916528804143105")</f>
        <v>1065916528804143105</v>
      </c>
      <c r="F134" s="11" t="s">
        <v>624</v>
      </c>
      <c r="G134" s="12"/>
      <c r="H134" s="12"/>
      <c r="I134" s="13">
        <v>2</v>
      </c>
      <c r="J134" s="13">
        <v>0</v>
      </c>
      <c r="K134" s="14" t="str">
        <f>HYPERLINK("http://twitter.com","Twitter Web Client")</f>
        <v>Twitter Web Client</v>
      </c>
      <c r="L134" s="13">
        <v>1304</v>
      </c>
      <c r="M134" s="13">
        <v>2250</v>
      </c>
      <c r="N134" s="13">
        <v>14</v>
      </c>
      <c r="O134" s="15"/>
      <c r="P134" s="6">
        <v>40669.26399305556</v>
      </c>
      <c r="Q134" s="17" t="s">
        <v>625</v>
      </c>
      <c r="R134" s="16" t="s">
        <v>626</v>
      </c>
      <c r="S134" s="11" t="s">
        <v>627</v>
      </c>
      <c r="T134" s="12"/>
      <c r="U134" s="10" t="str">
        <f>HYPERLINK("https://pbs.twimg.com/profile_images/687700139687948288/nvVjoST3.jpg","View")</f>
        <v>View</v>
      </c>
    </row>
    <row r="135" spans="1:21" ht="40.799999999999997">
      <c r="A135" s="6">
        <v>43427.106944444444</v>
      </c>
      <c r="B135" s="7" t="str">
        <f>HYPERLINK("https://twitter.com/whomples","@whomples")</f>
        <v>@whomples</v>
      </c>
      <c r="C135" s="8" t="s">
        <v>628</v>
      </c>
      <c r="D135" s="9" t="s">
        <v>629</v>
      </c>
      <c r="E135" s="10" t="str">
        <f>HYPERLINK("https://twitter.com/whomples/status/1065916367377960960","1065916367377960960")</f>
        <v>1065916367377960960</v>
      </c>
      <c r="F135" s="11" t="s">
        <v>630</v>
      </c>
      <c r="G135" s="12"/>
      <c r="H135" s="12"/>
      <c r="I135" s="13">
        <v>1</v>
      </c>
      <c r="J135" s="13">
        <v>0</v>
      </c>
      <c r="K135" s="14" t="str">
        <f>HYPERLINK("https://buffer.com","Buffer")</f>
        <v>Buffer</v>
      </c>
      <c r="L135" s="13">
        <v>2356</v>
      </c>
      <c r="M135" s="13">
        <v>3070</v>
      </c>
      <c r="N135" s="13">
        <v>68</v>
      </c>
      <c r="O135" s="15"/>
      <c r="P135" s="6">
        <v>39644.643321759257</v>
      </c>
      <c r="Q135" s="17" t="s">
        <v>631</v>
      </c>
      <c r="R135" s="16" t="s">
        <v>632</v>
      </c>
      <c r="S135" s="11" t="s">
        <v>633</v>
      </c>
      <c r="T135" s="12"/>
      <c r="U135" s="10" t="str">
        <f>HYPERLINK("https://pbs.twimg.com/profile_images/934771282545135617/gTLhzD16.jpg","View")</f>
        <v>View</v>
      </c>
    </row>
    <row r="136" spans="1:21" ht="30.6">
      <c r="A136" s="6">
        <v>43427.106898148151</v>
      </c>
      <c r="B136" s="7" t="str">
        <f>HYPERLINK("https://twitter.com/fedenori1","@fedenori1")</f>
        <v>@fedenori1</v>
      </c>
      <c r="C136" s="8" t="s">
        <v>634</v>
      </c>
      <c r="D136" s="9" t="s">
        <v>45</v>
      </c>
      <c r="E136" s="10" t="str">
        <f>HYPERLINK("https://twitter.com/fedenori1/status/1065916349988433920","1065916349988433920")</f>
        <v>1065916349988433920</v>
      </c>
      <c r="F136" s="11" t="s">
        <v>84</v>
      </c>
      <c r="G136" s="12"/>
      <c r="H136" s="12"/>
      <c r="I136" s="13">
        <v>0</v>
      </c>
      <c r="J136" s="13">
        <v>0</v>
      </c>
      <c r="K136" s="14" t="str">
        <f>HYPERLINK("http://twitter.com","Twitter Web Client")</f>
        <v>Twitter Web Client</v>
      </c>
      <c r="L136" s="13">
        <v>683</v>
      </c>
      <c r="M136" s="13">
        <v>508</v>
      </c>
      <c r="N136" s="13">
        <v>17</v>
      </c>
      <c r="O136" s="15"/>
      <c r="P136" s="6">
        <v>41976.060763888891</v>
      </c>
      <c r="Q136" s="17" t="s">
        <v>635</v>
      </c>
      <c r="R136" s="16" t="s">
        <v>636</v>
      </c>
      <c r="S136" s="12"/>
      <c r="T136" s="12"/>
      <c r="U136" s="10" t="str">
        <f>HYPERLINK("https://pbs.twimg.com/profile_images/858619969788981249/ikKnYWct.jpg","View")</f>
        <v>View</v>
      </c>
    </row>
    <row r="137" spans="1:21" ht="20.399999999999999">
      <c r="A137" s="6">
        <v>43427.104490740741</v>
      </c>
      <c r="B137" s="7" t="str">
        <f>HYPERLINK("https://twitter.com/megafonoccoo","@megafonoccoo")</f>
        <v>@megafonoccoo</v>
      </c>
      <c r="C137" s="8" t="s">
        <v>637</v>
      </c>
      <c r="D137" s="9" t="s">
        <v>189</v>
      </c>
      <c r="E137" s="10" t="str">
        <f>HYPERLINK("https://twitter.com/megafonoccoo/status/1065915480484003840","1065915480484003840")</f>
        <v>1065915480484003840</v>
      </c>
      <c r="F137" s="11" t="s">
        <v>190</v>
      </c>
      <c r="G137" s="12"/>
      <c r="H137" s="12"/>
      <c r="I137" s="13">
        <v>0</v>
      </c>
      <c r="J137" s="13">
        <v>0</v>
      </c>
      <c r="K137" s="14" t="str">
        <f>HYPERLINK("http://twitter.com/download/android","Twitter for Android")</f>
        <v>Twitter for Android</v>
      </c>
      <c r="L137" s="13">
        <v>1349</v>
      </c>
      <c r="M137" s="13">
        <v>1532</v>
      </c>
      <c r="N137" s="13">
        <v>36</v>
      </c>
      <c r="O137" s="15"/>
      <c r="P137" s="6">
        <v>41064.562581018516</v>
      </c>
      <c r="Q137" s="17" t="s">
        <v>639</v>
      </c>
      <c r="R137" s="16" t="s">
        <v>640</v>
      </c>
      <c r="S137" s="12"/>
      <c r="T137" s="12"/>
      <c r="U137" s="10" t="str">
        <f>HYPERLINK("https://pbs.twimg.com/profile_images/2279929324/7cpganh95ds3ssnmh9t8.jpeg","View")</f>
        <v>View</v>
      </c>
    </row>
    <row r="138" spans="1:21" ht="51">
      <c r="A138" s="6">
        <v>43427.10356481481</v>
      </c>
      <c r="B138" s="7" t="str">
        <f>HYPERLINK("https://twitter.com/EconoCabreado","@EconoCabreado")</f>
        <v>@EconoCabreado</v>
      </c>
      <c r="C138" s="8" t="s">
        <v>641</v>
      </c>
      <c r="D138" s="9" t="s">
        <v>642</v>
      </c>
      <c r="E138" s="10" t="str">
        <f>HYPERLINK("https://twitter.com/EconoCabreado/status/1065915141529710593","1065915141529710593")</f>
        <v>1065915141529710593</v>
      </c>
      <c r="F138" s="12"/>
      <c r="G138" s="11" t="s">
        <v>643</v>
      </c>
      <c r="H138" s="12"/>
      <c r="I138" s="13">
        <v>2</v>
      </c>
      <c r="J138" s="13">
        <v>2</v>
      </c>
      <c r="K138" s="14" t="str">
        <f>HYPERLINK("http://twitter.com","Twitter Web Client")</f>
        <v>Twitter Web Client</v>
      </c>
      <c r="L138" s="13">
        <v>11373</v>
      </c>
      <c r="M138" s="13">
        <v>1535</v>
      </c>
      <c r="N138" s="13">
        <v>273</v>
      </c>
      <c r="O138" s="15"/>
      <c r="P138" s="6">
        <v>40843.041296296295</v>
      </c>
      <c r="Q138" s="17" t="s">
        <v>644</v>
      </c>
      <c r="R138" s="16" t="s">
        <v>645</v>
      </c>
      <c r="S138" s="11" t="s">
        <v>646</v>
      </c>
      <c r="T138" s="12"/>
      <c r="U138" s="10" t="str">
        <f>HYPERLINK("https://pbs.twimg.com/profile_images/1609806966/KeepYourCoins.jpg","View")</f>
        <v>View</v>
      </c>
    </row>
    <row r="139" spans="1:21" ht="51">
      <c r="A139" s="6">
        <v>43427.100150462968</v>
      </c>
      <c r="B139" s="7" t="str">
        <f>HYPERLINK("https://twitter.com/jalvhdez","@jalvhdez")</f>
        <v>@jalvhdez</v>
      </c>
      <c r="C139" s="8" t="s">
        <v>647</v>
      </c>
      <c r="D139" s="9" t="s">
        <v>648</v>
      </c>
      <c r="E139" s="10" t="str">
        <f>HYPERLINK("https://twitter.com/jalvhdez/status/1065913904893702145","1065913904893702145")</f>
        <v>1065913904893702145</v>
      </c>
      <c r="F139" s="12"/>
      <c r="G139" s="12"/>
      <c r="H139" s="12"/>
      <c r="I139" s="13">
        <v>0</v>
      </c>
      <c r="J139" s="13">
        <v>0</v>
      </c>
      <c r="K139" s="14" t="str">
        <f>HYPERLINK("http://twitter.com/download/iphone","Twitter for iPhone")</f>
        <v>Twitter for iPhone</v>
      </c>
      <c r="L139" s="13">
        <v>44</v>
      </c>
      <c r="M139" s="13">
        <v>114</v>
      </c>
      <c r="N139" s="13">
        <v>2</v>
      </c>
      <c r="O139" s="15"/>
      <c r="P139" s="6">
        <v>41223.105590277773</v>
      </c>
      <c r="Q139" s="12"/>
      <c r="R139" s="18"/>
      <c r="S139" s="12"/>
      <c r="T139" s="12"/>
      <c r="U139" s="10" t="str">
        <f>HYPERLINK("https://pbs.twimg.com/profile_images/1036291894517661696/VfqN7qcn.jpg","View")</f>
        <v>View</v>
      </c>
    </row>
    <row r="140" spans="1:21" ht="30.6">
      <c r="A140" s="6">
        <v>43427.099675925929</v>
      </c>
      <c r="B140" s="7" t="str">
        <f>HYPERLINK("https://twitter.com/JuanmiBaquero","@JuanmiBaquero")</f>
        <v>@JuanmiBaquero</v>
      </c>
      <c r="C140" s="8" t="s">
        <v>649</v>
      </c>
      <c r="D140" s="9" t="s">
        <v>650</v>
      </c>
      <c r="E140" s="10" t="str">
        <f>HYPERLINK("https://twitter.com/JuanmiBaquero/status/1065913735674568704","1065913735674568704")</f>
        <v>1065913735674568704</v>
      </c>
      <c r="F140" s="11" t="s">
        <v>267</v>
      </c>
      <c r="G140" s="12"/>
      <c r="H140" s="12"/>
      <c r="I140" s="13">
        <v>0</v>
      </c>
      <c r="J140" s="13">
        <v>3</v>
      </c>
      <c r="K140" s="14" t="str">
        <f>HYPERLINK("http://twitter.com","Twitter Web Client")</f>
        <v>Twitter Web Client</v>
      </c>
      <c r="L140" s="13">
        <v>3380</v>
      </c>
      <c r="M140" s="13">
        <v>924</v>
      </c>
      <c r="N140" s="13">
        <v>100</v>
      </c>
      <c r="O140" s="15"/>
      <c r="P140" s="6">
        <v>40928.553460648152</v>
      </c>
      <c r="Q140" s="17" t="s">
        <v>651</v>
      </c>
      <c r="R140" s="16" t="s">
        <v>652</v>
      </c>
      <c r="S140" s="11" t="s">
        <v>653</v>
      </c>
      <c r="T140" s="12"/>
      <c r="U140" s="10" t="str">
        <f>HYPERLINK("https://pbs.twimg.com/profile_images/1042519835471691776/mcZwsmOn.jpg","View")</f>
        <v>View</v>
      </c>
    </row>
    <row r="141" spans="1:21" ht="13.2">
      <c r="A141" s="6">
        <v>43427.099490740744</v>
      </c>
      <c r="B141" s="7" t="str">
        <f>HYPERLINK("https://twitter.com/titulares24hora","@titulares24hora")</f>
        <v>@titulares24hora</v>
      </c>
      <c r="C141" s="8" t="s">
        <v>654</v>
      </c>
      <c r="D141" s="9" t="s">
        <v>23</v>
      </c>
      <c r="E141" s="10" t="str">
        <f>HYPERLINK("https://twitter.com/titulares24hora/status/1065913668582498304","1065913668582498304")</f>
        <v>1065913668582498304</v>
      </c>
      <c r="F141" s="12"/>
      <c r="G141" s="12"/>
      <c r="H141" s="12"/>
      <c r="I141" s="13">
        <v>0</v>
      </c>
      <c r="J141" s="13">
        <v>0</v>
      </c>
      <c r="K141" s="14" t="str">
        <f>HYPERLINK("https://ifttt.com","IFTTT")</f>
        <v>IFTTT</v>
      </c>
      <c r="L141" s="13">
        <v>394</v>
      </c>
      <c r="M141" s="13">
        <v>1463</v>
      </c>
      <c r="N141" s="13">
        <v>2</v>
      </c>
      <c r="O141" s="15"/>
      <c r="P141" s="6">
        <v>42508.071805555555</v>
      </c>
      <c r="Q141" s="12"/>
      <c r="R141" s="16" t="s">
        <v>655</v>
      </c>
      <c r="S141" s="12"/>
      <c r="T141" s="12"/>
      <c r="U141" s="10" t="str">
        <f>HYPERLINK("https://pbs.twimg.com/profile_images/732855169034166272/A8O2LY2J.jpg","View")</f>
        <v>View</v>
      </c>
    </row>
    <row r="142" spans="1:21" ht="51">
      <c r="A142" s="6">
        <v>43427.099004629628</v>
      </c>
      <c r="B142" s="7" t="str">
        <f>HYPERLINK("https://twitter.com/JMPGCV","@JMPGCV")</f>
        <v>@JMPGCV</v>
      </c>
      <c r="C142" s="8" t="s">
        <v>479</v>
      </c>
      <c r="D142" s="9" t="s">
        <v>656</v>
      </c>
      <c r="E142" s="10" t="str">
        <f>HYPERLINK("https://twitter.com/JMPGCV/status/1065913491331133440","1065913491331133440")</f>
        <v>1065913491331133440</v>
      </c>
      <c r="F142" s="12"/>
      <c r="G142" s="11" t="s">
        <v>657</v>
      </c>
      <c r="H142" s="12"/>
      <c r="I142" s="13">
        <v>14</v>
      </c>
      <c r="J142" s="13">
        <v>8</v>
      </c>
      <c r="K142" s="14" t="str">
        <f>HYPERLINK("http://twitter.com/download/android","Twitter for Android")</f>
        <v>Twitter for Android</v>
      </c>
      <c r="L142" s="13">
        <v>2716</v>
      </c>
      <c r="M142" s="13">
        <v>2114</v>
      </c>
      <c r="N142" s="13">
        <v>18</v>
      </c>
      <c r="O142" s="15"/>
      <c r="P142" s="6">
        <v>42675.565069444448</v>
      </c>
      <c r="Q142" s="17" t="s">
        <v>482</v>
      </c>
      <c r="R142" s="16" t="s">
        <v>483</v>
      </c>
      <c r="S142" s="11" t="s">
        <v>484</v>
      </c>
      <c r="T142" s="12"/>
      <c r="U142" s="10" t="str">
        <f>HYPERLINK("https://pbs.twimg.com/profile_images/1031413675595313152/tKHMq_JJ.jpg","View")</f>
        <v>View</v>
      </c>
    </row>
    <row r="143" spans="1:21" ht="20.399999999999999">
      <c r="A143" s="6">
        <v>43427.098738425921</v>
      </c>
      <c r="B143" s="7" t="str">
        <f>HYPERLINK("https://twitter.com/adelacafe93","@adelacafe93")</f>
        <v>@adelacafe93</v>
      </c>
      <c r="C143" s="8" t="s">
        <v>658</v>
      </c>
      <c r="D143" s="9" t="s">
        <v>23</v>
      </c>
      <c r="E143" s="10" t="str">
        <f>HYPERLINK("https://twitter.com/adelacafe93/status/1065913395055128576","1065913395055128576")</f>
        <v>1065913395055128576</v>
      </c>
      <c r="F143" s="11" t="s">
        <v>659</v>
      </c>
      <c r="G143" s="12"/>
      <c r="H143" s="12"/>
      <c r="I143" s="13">
        <v>0</v>
      </c>
      <c r="J143" s="13">
        <v>0</v>
      </c>
      <c r="K143" s="14" t="str">
        <f>HYPERLINK("https://ifttt.com","IFTTT")</f>
        <v>IFTTT</v>
      </c>
      <c r="L143" s="13">
        <v>18</v>
      </c>
      <c r="M143" s="13">
        <v>47</v>
      </c>
      <c r="N143" s="13">
        <v>0</v>
      </c>
      <c r="O143" s="15"/>
      <c r="P143" s="6">
        <v>42761.240034722221</v>
      </c>
      <c r="Q143" s="17" t="s">
        <v>660</v>
      </c>
      <c r="R143" s="16" t="s">
        <v>661</v>
      </c>
      <c r="S143" s="12"/>
      <c r="T143" s="12"/>
      <c r="U143" s="10" t="str">
        <f>HYPERLINK("https://pbs.twimg.com/profile_images/824614694078013444/fkDV_Y0Z.jpg","View")</f>
        <v>View</v>
      </c>
    </row>
    <row r="144" spans="1:21" ht="40.799999999999997">
      <c r="A144" s="6">
        <v>43427.091979166667</v>
      </c>
      <c r="B144" s="7" t="str">
        <f>HYPERLINK("https://twitter.com/JuanBerjano","@JuanBerjano")</f>
        <v>@JuanBerjano</v>
      </c>
      <c r="C144" s="8" t="s">
        <v>663</v>
      </c>
      <c r="D144" s="9" t="s">
        <v>664</v>
      </c>
      <c r="E144" s="10" t="str">
        <f>HYPERLINK("https://twitter.com/JuanBerjano/status/1065910943320862720","1065910943320862720")</f>
        <v>1065910943320862720</v>
      </c>
      <c r="F144" s="11" t="s">
        <v>361</v>
      </c>
      <c r="G144" s="12"/>
      <c r="H144" s="12"/>
      <c r="I144" s="13">
        <v>1</v>
      </c>
      <c r="J144" s="13">
        <v>0</v>
      </c>
      <c r="K144" s="14" t="str">
        <f>HYPERLINK("http://twitter.com/download/iphone","Twitter for iPhone")</f>
        <v>Twitter for iPhone</v>
      </c>
      <c r="L144" s="13">
        <v>2292</v>
      </c>
      <c r="M144" s="13">
        <v>2031</v>
      </c>
      <c r="N144" s="13">
        <v>46</v>
      </c>
      <c r="O144" s="15"/>
      <c r="P144" s="6">
        <v>40915.128657407404</v>
      </c>
      <c r="Q144" s="17" t="s">
        <v>667</v>
      </c>
      <c r="R144" s="16" t="s">
        <v>668</v>
      </c>
      <c r="S144" s="12"/>
      <c r="T144" s="12"/>
      <c r="U144" s="10" t="str">
        <f>HYPERLINK("https://pbs.twimg.com/profile_images/927452588424998913/cKkQ6NvE.jpg","View")</f>
        <v>View</v>
      </c>
    </row>
    <row r="145" spans="1:21" ht="30.6">
      <c r="A145" s="6">
        <v>43427.090474537035</v>
      </c>
      <c r="B145" s="7" t="str">
        <f>HYPERLINK("https://twitter.com/IUPARACUELLOS","@IUPARACUELLOS")</f>
        <v>@IUPARACUELLOS</v>
      </c>
      <c r="C145" s="8" t="s">
        <v>669</v>
      </c>
      <c r="D145" s="9" t="s">
        <v>45</v>
      </c>
      <c r="E145" s="10" t="str">
        <f>HYPERLINK("https://twitter.com/IUPARACUELLOS/status/1065910401311870976","1065910401311870976")</f>
        <v>1065910401311870976</v>
      </c>
      <c r="F145" s="11" t="s">
        <v>84</v>
      </c>
      <c r="G145" s="12"/>
      <c r="H145" s="12"/>
      <c r="I145" s="13">
        <v>0</v>
      </c>
      <c r="J145" s="13">
        <v>0</v>
      </c>
      <c r="K145" s="14" t="str">
        <f t="shared" ref="K145:K146" si="24">HYPERLINK("http://twitter.com","Twitter Web Client")</f>
        <v>Twitter Web Client</v>
      </c>
      <c r="L145" s="13">
        <v>786</v>
      </c>
      <c r="M145" s="13">
        <v>1029</v>
      </c>
      <c r="N145" s="13">
        <v>24</v>
      </c>
      <c r="O145" s="15"/>
      <c r="P145" s="6">
        <v>41331.952326388891</v>
      </c>
      <c r="Q145" s="12"/>
      <c r="R145" s="18"/>
      <c r="S145" s="11" t="s">
        <v>670</v>
      </c>
      <c r="T145" s="12"/>
      <c r="U145" s="10" t="str">
        <f>HYPERLINK("https://pbs.twimg.com/profile_images/748482583843979264/XVpdWaV3.jpg","View")</f>
        <v>View</v>
      </c>
    </row>
    <row r="146" spans="1:21" ht="51">
      <c r="A146" s="6">
        <v>43427.08761574074</v>
      </c>
      <c r="B146" s="7" t="str">
        <f>HYPERLINK("https://twitter.com/carmoraga","@carmoraga")</f>
        <v>@carmoraga</v>
      </c>
      <c r="C146" s="8" t="s">
        <v>671</v>
      </c>
      <c r="D146" s="9" t="s">
        <v>672</v>
      </c>
      <c r="E146" s="10" t="str">
        <f>HYPERLINK("https://twitter.com/carmoraga/status/1065909364987502593","1065909364987502593")</f>
        <v>1065909364987502593</v>
      </c>
      <c r="F146" s="11" t="s">
        <v>673</v>
      </c>
      <c r="G146" s="12"/>
      <c r="H146" s="12"/>
      <c r="I146" s="13">
        <v>0</v>
      </c>
      <c r="J146" s="13">
        <v>0</v>
      </c>
      <c r="K146" s="14" t="str">
        <f t="shared" si="24"/>
        <v>Twitter Web Client</v>
      </c>
      <c r="L146" s="13">
        <v>1703</v>
      </c>
      <c r="M146" s="13">
        <v>934</v>
      </c>
      <c r="N146" s="13">
        <v>62</v>
      </c>
      <c r="O146" s="15"/>
      <c r="P146" s="6">
        <v>40699.629999999997</v>
      </c>
      <c r="Q146" s="12"/>
      <c r="R146" s="16" t="s">
        <v>674</v>
      </c>
      <c r="S146" s="12"/>
      <c r="T146" s="12"/>
      <c r="U146" s="10" t="str">
        <f>HYPERLINK("https://pbs.twimg.com/profile_images/865339245678002177/0qFVUyHt.jpg","View")</f>
        <v>View</v>
      </c>
    </row>
    <row r="147" spans="1:21" ht="20.399999999999999">
      <c r="A147" s="6">
        <v>43427.084722222222</v>
      </c>
      <c r="B147" s="7" t="str">
        <f>HYPERLINK("https://twitter.com/En_Blau_es","@En_Blau_es")</f>
        <v>@En_Blau_es</v>
      </c>
      <c r="C147" s="8" t="s">
        <v>675</v>
      </c>
      <c r="D147" s="9" t="s">
        <v>676</v>
      </c>
      <c r="E147" s="10" t="str">
        <f>HYPERLINK("https://twitter.com/En_Blau_es/status/1065908314175930368","1065908314175930368")</f>
        <v>1065908314175930368</v>
      </c>
      <c r="F147" s="11" t="s">
        <v>677</v>
      </c>
      <c r="G147" s="12"/>
      <c r="H147" s="12"/>
      <c r="I147" s="13">
        <v>0</v>
      </c>
      <c r="J147" s="13">
        <v>0</v>
      </c>
      <c r="K147" s="14" t="str">
        <f>HYPERLINK("https://about.twitter.com/products/tweetdeck","TweetDeck")</f>
        <v>TweetDeck</v>
      </c>
      <c r="L147" s="13">
        <v>386</v>
      </c>
      <c r="M147" s="13">
        <v>98</v>
      </c>
      <c r="N147" s="13">
        <v>4</v>
      </c>
      <c r="O147" s="15"/>
      <c r="P147" s="6">
        <v>42824.191701388889</v>
      </c>
      <c r="Q147" s="12"/>
      <c r="R147" s="18"/>
      <c r="S147" s="11" t="s">
        <v>678</v>
      </c>
      <c r="T147" s="12"/>
      <c r="U147" s="10" t="str">
        <f>HYPERLINK("https://pbs.twimg.com/profile_images/849621382346534912/rD-7feps.jpg","View")</f>
        <v>View</v>
      </c>
    </row>
    <row r="148" spans="1:21" ht="40.799999999999997">
      <c r="A148" s="6">
        <v>43427.084456018521</v>
      </c>
      <c r="B148" s="7" t="str">
        <f>HYPERLINK("https://twitter.com/KODiario666","@KODiario666")</f>
        <v>@KODiario666</v>
      </c>
      <c r="C148" s="8" t="s">
        <v>679</v>
      </c>
      <c r="D148" s="9" t="s">
        <v>680</v>
      </c>
      <c r="E148" s="10" t="str">
        <f>HYPERLINK("https://twitter.com/KODiario666/status/1065908216146681856","1065908216146681856")</f>
        <v>1065908216146681856</v>
      </c>
      <c r="F148" s="12"/>
      <c r="G148" s="11" t="s">
        <v>681</v>
      </c>
      <c r="H148" s="12"/>
      <c r="I148" s="13">
        <v>7</v>
      </c>
      <c r="J148" s="13">
        <v>3</v>
      </c>
      <c r="K148" s="14" t="str">
        <f>HYPERLINK("http://twitter.com/download/iphone","Twitter for iPhone")</f>
        <v>Twitter for iPhone</v>
      </c>
      <c r="L148" s="13">
        <v>750</v>
      </c>
      <c r="M148" s="13">
        <v>226</v>
      </c>
      <c r="N148" s="13">
        <v>8</v>
      </c>
      <c r="O148" s="15"/>
      <c r="P148" s="6">
        <v>42944.03197916667</v>
      </c>
      <c r="Q148" s="17" t="s">
        <v>683</v>
      </c>
      <c r="R148" s="16" t="s">
        <v>684</v>
      </c>
      <c r="S148" s="11" t="s">
        <v>685</v>
      </c>
      <c r="T148" s="12"/>
      <c r="U148" s="10" t="str">
        <f>HYPERLINK("https://pbs.twimg.com/profile_images/1019138233127653376/68gnC4na.jpg","View")</f>
        <v>View</v>
      </c>
    </row>
    <row r="149" spans="1:21" ht="30.6">
      <c r="A149" s="6">
        <v>43427.080590277779</v>
      </c>
      <c r="B149" s="7" t="str">
        <f>HYPERLINK("https://twitter.com/eldiarioes","@eldiarioes")</f>
        <v>@eldiarioes</v>
      </c>
      <c r="C149" s="20" t="s">
        <v>687</v>
      </c>
      <c r="D149" s="9" t="s">
        <v>689</v>
      </c>
      <c r="E149" s="10" t="str">
        <f>HYPERLINK("https://twitter.com/eldiarioes/status/1065906819166609409","1065906819166609409")</f>
        <v>1065906819166609409</v>
      </c>
      <c r="F149" s="11" t="s">
        <v>690</v>
      </c>
      <c r="G149" s="11" t="s">
        <v>691</v>
      </c>
      <c r="H149" s="12"/>
      <c r="I149" s="13">
        <v>7</v>
      </c>
      <c r="J149" s="13">
        <v>3</v>
      </c>
      <c r="K149" s="14" t="str">
        <f>HYPERLINK("https://about.twitter.com/products/tweetdeck","TweetDeck")</f>
        <v>TweetDeck</v>
      </c>
      <c r="L149" s="13">
        <v>936614</v>
      </c>
      <c r="M149" s="13">
        <v>456</v>
      </c>
      <c r="N149" s="13">
        <v>11235</v>
      </c>
      <c r="O149" s="19" t="s">
        <v>74</v>
      </c>
      <c r="P149" s="6">
        <v>40992.505856481483</v>
      </c>
      <c r="Q149" s="12"/>
      <c r="R149" s="16" t="s">
        <v>692</v>
      </c>
      <c r="S149" s="11" t="s">
        <v>693</v>
      </c>
      <c r="T149" s="12"/>
      <c r="U149" s="10" t="str">
        <f>HYPERLINK("https://pbs.twimg.com/profile_images/1016600645292511232/eYIkIK2s.jpg","View")</f>
        <v>View</v>
      </c>
    </row>
    <row r="150" spans="1:21" ht="20.399999999999999">
      <c r="A150" s="6">
        <v>43427.080138888894</v>
      </c>
      <c r="B150" s="7" t="str">
        <f>HYPERLINK("https://twitter.com/anamariapalos","@anamariapalos")</f>
        <v>@anamariapalos</v>
      </c>
      <c r="C150" s="8" t="s">
        <v>696</v>
      </c>
      <c r="D150" s="9" t="s">
        <v>697</v>
      </c>
      <c r="E150" s="10" t="str">
        <f>HYPERLINK("https://twitter.com/anamariapalos/status/1065906652304613376","1065906652304613376")</f>
        <v>1065906652304613376</v>
      </c>
      <c r="F150" s="11" t="s">
        <v>335</v>
      </c>
      <c r="G150" s="12"/>
      <c r="H150" s="12"/>
      <c r="I150" s="13">
        <v>0</v>
      </c>
      <c r="J150" s="13">
        <v>0</v>
      </c>
      <c r="K150" s="14" t="str">
        <f>HYPERLINK("http://www.facebook.com/twitter","Facebook")</f>
        <v>Facebook</v>
      </c>
      <c r="L150" s="13">
        <v>326</v>
      </c>
      <c r="M150" s="13">
        <v>1049</v>
      </c>
      <c r="N150" s="13">
        <v>20</v>
      </c>
      <c r="O150" s="15"/>
      <c r="P150" s="6">
        <v>39886.379259259258</v>
      </c>
      <c r="Q150" s="12"/>
      <c r="R150" s="18"/>
      <c r="S150" s="11" t="s">
        <v>698</v>
      </c>
      <c r="T150" s="12"/>
      <c r="U150" s="10" t="str">
        <f>HYPERLINK("https://pbs.twimg.com/profile_images/973853504476536833/6CnX__qg.jpg","View")</f>
        <v>View</v>
      </c>
    </row>
    <row r="151" spans="1:21" ht="30.6">
      <c r="A151" s="6">
        <v>43427.079004629632</v>
      </c>
      <c r="B151" s="7" t="str">
        <f>HYPERLINK("https://twitter.com/gonzalrius","@gonzalrius")</f>
        <v>@gonzalrius</v>
      </c>
      <c r="C151" s="8" t="s">
        <v>699</v>
      </c>
      <c r="D151" s="9" t="s">
        <v>700</v>
      </c>
      <c r="E151" s="10" t="str">
        <f>HYPERLINK("https://twitter.com/gonzalrius/status/1065906241850015744","1065906241850015744")</f>
        <v>1065906241850015744</v>
      </c>
      <c r="F151" s="11" t="s">
        <v>47</v>
      </c>
      <c r="G151" s="12"/>
      <c r="H151" s="12"/>
      <c r="I151" s="13">
        <v>0</v>
      </c>
      <c r="J151" s="13">
        <v>0</v>
      </c>
      <c r="K151" s="14" t="str">
        <f t="shared" ref="K151:K153" si="25">HYPERLINK("http://twitter.com","Twitter Web Client")</f>
        <v>Twitter Web Client</v>
      </c>
      <c r="L151" s="13">
        <v>454</v>
      </c>
      <c r="M151" s="13">
        <v>299</v>
      </c>
      <c r="N151" s="13">
        <v>2</v>
      </c>
      <c r="O151" s="15"/>
      <c r="P151" s="6">
        <v>41292.419548611113</v>
      </c>
      <c r="Q151" s="12"/>
      <c r="R151" s="16" t="s">
        <v>701</v>
      </c>
      <c r="S151" s="12"/>
      <c r="T151" s="12"/>
      <c r="U151" s="10" t="str">
        <f>HYPERLINK("https://pbs.twimg.com/profile_images/378800000016163530/83aeb0d8bbf8edd6bf8178ed2121d664.jpeg","View")</f>
        <v>View</v>
      </c>
    </row>
    <row r="152" spans="1:21" ht="30.6">
      <c r="A152" s="6">
        <v>43427.077083333337</v>
      </c>
      <c r="B152" s="7" t="str">
        <f>HYPERLINK("https://twitter.com/JustVegetal","@JustVegetal")</f>
        <v>@JustVegetal</v>
      </c>
      <c r="C152" s="8" t="s">
        <v>702</v>
      </c>
      <c r="D152" s="9" t="s">
        <v>45</v>
      </c>
      <c r="E152" s="10" t="str">
        <f>HYPERLINK("https://twitter.com/JustVegetal/status/1065905548195966977","1065905548195966977")</f>
        <v>1065905548195966977</v>
      </c>
      <c r="F152" s="11" t="s">
        <v>84</v>
      </c>
      <c r="G152" s="12"/>
      <c r="H152" s="12"/>
      <c r="I152" s="13">
        <v>1</v>
      </c>
      <c r="J152" s="13">
        <v>0</v>
      </c>
      <c r="K152" s="14" t="str">
        <f t="shared" si="25"/>
        <v>Twitter Web Client</v>
      </c>
      <c r="L152" s="13">
        <v>653</v>
      </c>
      <c r="M152" s="13">
        <v>1032</v>
      </c>
      <c r="N152" s="13">
        <v>5</v>
      </c>
      <c r="O152" s="15"/>
      <c r="P152" s="6">
        <v>40712.546655092592</v>
      </c>
      <c r="Q152" s="17" t="s">
        <v>703</v>
      </c>
      <c r="R152" s="16" t="s">
        <v>704</v>
      </c>
      <c r="S152" s="11" t="s">
        <v>705</v>
      </c>
      <c r="T152" s="12"/>
      <c r="U152" s="10" t="str">
        <f>HYPERLINK("https://pbs.twimg.com/profile_images/586796647973269504/bZi7vd4O.jpg","View")</f>
        <v>View</v>
      </c>
    </row>
    <row r="153" spans="1:21" ht="40.799999999999997">
      <c r="A153" s="6">
        <v>43427.076550925922</v>
      </c>
      <c r="B153" s="7" t="str">
        <f>HYPERLINK("https://twitter.com/BlaancaNiieves","@BlaancaNiieves")</f>
        <v>@BlaancaNiieves</v>
      </c>
      <c r="C153" s="8" t="s">
        <v>49</v>
      </c>
      <c r="D153" s="9" t="s">
        <v>706</v>
      </c>
      <c r="E153" s="10" t="str">
        <f>HYPERLINK("https://twitter.com/BlaancaNiieves/status/1065905353555173376","1065905353555173376")</f>
        <v>1065905353555173376</v>
      </c>
      <c r="F153" s="11" t="s">
        <v>707</v>
      </c>
      <c r="G153" s="12"/>
      <c r="H153" s="12"/>
      <c r="I153" s="13">
        <v>1</v>
      </c>
      <c r="J153" s="13">
        <v>0</v>
      </c>
      <c r="K153" s="14" t="str">
        <f t="shared" si="25"/>
        <v>Twitter Web Client</v>
      </c>
      <c r="L153" s="13">
        <v>12765</v>
      </c>
      <c r="M153" s="13">
        <v>7062</v>
      </c>
      <c r="N153" s="13">
        <v>180</v>
      </c>
      <c r="O153" s="15"/>
      <c r="P153" s="6">
        <v>40831.098078703704</v>
      </c>
      <c r="Q153" s="17" t="s">
        <v>29</v>
      </c>
      <c r="R153" s="16" t="s">
        <v>53</v>
      </c>
      <c r="S153" s="12"/>
      <c r="T153" s="12"/>
      <c r="U153" s="10" t="str">
        <f>HYPERLINK("https://pbs.twimg.com/profile_images/2470680169/wsbnexryuc29zw10olvt.jpeg","View")</f>
        <v>View</v>
      </c>
    </row>
    <row r="154" spans="1:21" ht="30.6">
      <c r="A154" s="6">
        <v>43427.075231481482</v>
      </c>
      <c r="B154" s="7" t="str">
        <f>HYPERLINK("https://twitter.com/JMotaSierra","@JMotaSierra")</f>
        <v>@JMotaSierra</v>
      </c>
      <c r="C154" s="8" t="s">
        <v>708</v>
      </c>
      <c r="D154" s="9" t="s">
        <v>116</v>
      </c>
      <c r="E154" s="10" t="str">
        <f>HYPERLINK("https://twitter.com/JMotaSierra/status/1065904876817973248","1065904876817973248")</f>
        <v>1065904876817973248</v>
      </c>
      <c r="F154" s="11" t="s">
        <v>166</v>
      </c>
      <c r="G154" s="12"/>
      <c r="H154" s="12"/>
      <c r="I154" s="13">
        <v>0</v>
      </c>
      <c r="J154" s="13">
        <v>0</v>
      </c>
      <c r="K154" s="14" t="str">
        <f t="shared" ref="K154:K155" si="26">HYPERLINK("http://www.facebook.com/twitter","Facebook")</f>
        <v>Facebook</v>
      </c>
      <c r="L154" s="13">
        <v>574</v>
      </c>
      <c r="M154" s="13">
        <v>1513</v>
      </c>
      <c r="N154" s="13">
        <v>12</v>
      </c>
      <c r="O154" s="15"/>
      <c r="P154" s="6">
        <v>40790.211516203708</v>
      </c>
      <c r="Q154" s="17" t="s">
        <v>709</v>
      </c>
      <c r="R154" s="16" t="s">
        <v>710</v>
      </c>
      <c r="S154" s="11" t="s">
        <v>711</v>
      </c>
      <c r="T154" s="12"/>
      <c r="U154" s="10" t="str">
        <f>HYPERLINK("https://pbs.twimg.com/profile_images/935267078126350338/5pU_Ir7o.jpg","View")</f>
        <v>View</v>
      </c>
    </row>
    <row r="155" spans="1:21" ht="20.399999999999999">
      <c r="A155" s="6">
        <v>43427.072453703702</v>
      </c>
      <c r="B155" s="7" t="str">
        <f>HYPERLINK("https://twitter.com/BCNPep","@BCNPep")</f>
        <v>@BCNPep</v>
      </c>
      <c r="C155" s="8" t="s">
        <v>712</v>
      </c>
      <c r="D155" s="9" t="s">
        <v>116</v>
      </c>
      <c r="E155" s="10" t="str">
        <f>HYPERLINK("https://twitter.com/BCNPep/status/1065903869853609984","1065903869853609984")</f>
        <v>1065903869853609984</v>
      </c>
      <c r="F155" s="11" t="s">
        <v>166</v>
      </c>
      <c r="G155" s="12"/>
      <c r="H155" s="12"/>
      <c r="I155" s="13">
        <v>0</v>
      </c>
      <c r="J155" s="13">
        <v>0</v>
      </c>
      <c r="K155" s="14" t="str">
        <f t="shared" si="26"/>
        <v>Facebook</v>
      </c>
      <c r="L155" s="13">
        <v>568</v>
      </c>
      <c r="M155" s="13">
        <v>1640</v>
      </c>
      <c r="N155" s="13">
        <v>27</v>
      </c>
      <c r="O155" s="15"/>
      <c r="P155" s="6">
        <v>40572.63863425926</v>
      </c>
      <c r="Q155" s="17" t="s">
        <v>187</v>
      </c>
      <c r="R155" s="16" t="s">
        <v>713</v>
      </c>
      <c r="S155" s="12"/>
      <c r="T155" s="12"/>
      <c r="U155" s="10" t="str">
        <f>HYPERLINK("https://pbs.twimg.com/profile_images/556601544674930689/PhiuZjBa.jpeg","View")</f>
        <v>View</v>
      </c>
    </row>
    <row r="156" spans="1:21" ht="40.799999999999997">
      <c r="A156" s="6">
        <v>43427.07240740741</v>
      </c>
      <c r="B156" s="7" t="str">
        <f>HYPERLINK("https://twitter.com/FAM63","@FAM63")</f>
        <v>@FAM63</v>
      </c>
      <c r="C156" s="8" t="s">
        <v>714</v>
      </c>
      <c r="D156" s="9" t="s">
        <v>715</v>
      </c>
      <c r="E156" s="10" t="str">
        <f>HYPERLINK("https://twitter.com/FAM63/status/1065903853210619906","1065903853210619906")</f>
        <v>1065903853210619906</v>
      </c>
      <c r="F156" s="11" t="s">
        <v>42</v>
      </c>
      <c r="G156" s="12"/>
      <c r="H156" s="12"/>
      <c r="I156" s="13">
        <v>7</v>
      </c>
      <c r="J156" s="13">
        <v>5</v>
      </c>
      <c r="K156" s="14" t="str">
        <f t="shared" ref="K156:K158" si="27">HYPERLINK("http://twitter.com","Twitter Web Client")</f>
        <v>Twitter Web Client</v>
      </c>
      <c r="L156" s="13">
        <v>4536</v>
      </c>
      <c r="M156" s="13">
        <v>2852</v>
      </c>
      <c r="N156" s="13">
        <v>33</v>
      </c>
      <c r="O156" s="15"/>
      <c r="P156" s="6">
        <v>40274.314606481479</v>
      </c>
      <c r="Q156" s="17" t="s">
        <v>29</v>
      </c>
      <c r="R156" s="16" t="s">
        <v>716</v>
      </c>
      <c r="S156" s="11" t="s">
        <v>717</v>
      </c>
      <c r="T156" s="12"/>
      <c r="U156" s="10" t="str">
        <f>HYPERLINK("https://pbs.twimg.com/profile_images/943930876743880704/pkZEUpgL.jpg","View")</f>
        <v>View</v>
      </c>
    </row>
    <row r="157" spans="1:21" ht="51">
      <c r="A157" s="6">
        <v>43427.069039351853</v>
      </c>
      <c r="B157" s="7" t="str">
        <f>HYPERLINK("https://twitter.com/maria44946932","@maria44946932")</f>
        <v>@maria44946932</v>
      </c>
      <c r="C157" s="8" t="s">
        <v>718</v>
      </c>
      <c r="D157" s="9" t="s">
        <v>719</v>
      </c>
      <c r="E157" s="10" t="str">
        <f>HYPERLINK("https://twitter.com/maria44946932/status/1065902631602786304","1065902631602786304")</f>
        <v>1065902631602786304</v>
      </c>
      <c r="F157" s="11" t="s">
        <v>673</v>
      </c>
      <c r="G157" s="12"/>
      <c r="H157" s="12"/>
      <c r="I157" s="13">
        <v>0</v>
      </c>
      <c r="J157" s="13">
        <v>0</v>
      </c>
      <c r="K157" s="14" t="str">
        <f t="shared" si="27"/>
        <v>Twitter Web Client</v>
      </c>
      <c r="L157" s="13">
        <v>178</v>
      </c>
      <c r="M157" s="13">
        <v>2015</v>
      </c>
      <c r="N157" s="13">
        <v>1</v>
      </c>
      <c r="O157" s="15"/>
      <c r="P157" s="6">
        <v>42833.425902777773</v>
      </c>
      <c r="Q157" s="17" t="s">
        <v>721</v>
      </c>
      <c r="R157" s="16" t="s">
        <v>722</v>
      </c>
      <c r="S157" s="12"/>
      <c r="T157" s="12"/>
      <c r="U157" s="10" t="str">
        <f>HYPERLINK("https://pbs.twimg.com/profile_images/911264888131072000/ewIt4bjC.jpg","View")</f>
        <v>View</v>
      </c>
    </row>
    <row r="158" spans="1:21" ht="40.799999999999997">
      <c r="A158" s="6">
        <v>43427.068379629629</v>
      </c>
      <c r="B158" s="7" t="str">
        <f>HYPERLINK("https://twitter.com/oseuankenobi","@oseuankenobi")</f>
        <v>@oseuankenobi</v>
      </c>
      <c r="C158" s="8" t="s">
        <v>723</v>
      </c>
      <c r="D158" s="9" t="s">
        <v>45</v>
      </c>
      <c r="E158" s="10" t="str">
        <f>HYPERLINK("https://twitter.com/oseuankenobi/status/1065902390342287360","1065902390342287360")</f>
        <v>1065902390342287360</v>
      </c>
      <c r="F158" s="11" t="s">
        <v>84</v>
      </c>
      <c r="G158" s="12"/>
      <c r="H158" s="12"/>
      <c r="I158" s="13">
        <v>0</v>
      </c>
      <c r="J158" s="13">
        <v>0</v>
      </c>
      <c r="K158" s="14" t="str">
        <f t="shared" si="27"/>
        <v>Twitter Web Client</v>
      </c>
      <c r="L158" s="13">
        <v>1308</v>
      </c>
      <c r="M158" s="13">
        <v>2294</v>
      </c>
      <c r="N158" s="13">
        <v>29</v>
      </c>
      <c r="O158" s="15"/>
      <c r="P158" s="6">
        <v>40842.174178240741</v>
      </c>
      <c r="Q158" s="17" t="s">
        <v>724</v>
      </c>
      <c r="R158" s="16" t="s">
        <v>725</v>
      </c>
      <c r="S158" s="12"/>
      <c r="T158" s="12"/>
      <c r="U158" s="10" t="str">
        <f>HYPERLINK("https://pbs.twimg.com/profile_images/1033773171038711811/TPw8e2n0.jpg","View")</f>
        <v>View</v>
      </c>
    </row>
    <row r="159" spans="1:21" ht="30.6">
      <c r="A159" s="6">
        <v>43427.068125000005</v>
      </c>
      <c r="B159" s="7" t="str">
        <f>HYPERLINK("https://twitter.com/Kanal_Zero15","@Kanal_Zero15")</f>
        <v>@Kanal_Zero15</v>
      </c>
      <c r="C159" s="8" t="s">
        <v>727</v>
      </c>
      <c r="D159" s="9" t="s">
        <v>45</v>
      </c>
      <c r="E159" s="10" t="str">
        <f>HYPERLINK("https://twitter.com/Kanal_Zero15/status/1065902301687283712","1065902301687283712")</f>
        <v>1065902301687283712</v>
      </c>
      <c r="F159" s="11" t="s">
        <v>47</v>
      </c>
      <c r="G159" s="12"/>
      <c r="H159" s="12"/>
      <c r="I159" s="13">
        <v>0</v>
      </c>
      <c r="J159" s="13">
        <v>0</v>
      </c>
      <c r="K159" s="14" t="str">
        <f>HYPERLINK("http://twitter.com/download/android","Twitter for Android")</f>
        <v>Twitter for Android</v>
      </c>
      <c r="L159" s="13">
        <v>894</v>
      </c>
      <c r="M159" s="13">
        <v>492</v>
      </c>
      <c r="N159" s="13">
        <v>19</v>
      </c>
      <c r="O159" s="15"/>
      <c r="P159" s="6">
        <v>42069.452731481477</v>
      </c>
      <c r="Q159" s="12"/>
      <c r="R159" s="16" t="s">
        <v>728</v>
      </c>
      <c r="S159" s="12"/>
      <c r="T159" s="12"/>
      <c r="U159" s="10" t="str">
        <f>HYPERLINK("https://pbs.twimg.com/profile_images/1051153216388378625/IcP8KR6m.jpg","View")</f>
        <v>View</v>
      </c>
    </row>
    <row r="160" spans="1:21" ht="20.399999999999999">
      <c r="A160" s="6">
        <v>43427.067002314812</v>
      </c>
      <c r="B160" s="7" t="str">
        <f>HYPERLINK("https://twitter.com/PedroViruega","@PedroViruega")</f>
        <v>@PedroViruega</v>
      </c>
      <c r="C160" s="8" t="s">
        <v>729</v>
      </c>
      <c r="D160" s="9" t="s">
        <v>664</v>
      </c>
      <c r="E160" s="10" t="str">
        <f>HYPERLINK("https://twitter.com/PedroViruega/status/1065901893812133889","1065901893812133889")</f>
        <v>1065901893812133889</v>
      </c>
      <c r="F160" s="11" t="s">
        <v>361</v>
      </c>
      <c r="G160" s="12"/>
      <c r="H160" s="12"/>
      <c r="I160" s="13">
        <v>0</v>
      </c>
      <c r="J160" s="13">
        <v>1</v>
      </c>
      <c r="K160" s="14" t="str">
        <f t="shared" ref="K160:K161" si="28">HYPERLINK("http://twitter.com","Twitter Web Client")</f>
        <v>Twitter Web Client</v>
      </c>
      <c r="L160" s="13">
        <v>792</v>
      </c>
      <c r="M160" s="13">
        <v>2901</v>
      </c>
      <c r="N160" s="13">
        <v>0</v>
      </c>
      <c r="O160" s="15"/>
      <c r="P160" s="6">
        <v>40476.266539351855</v>
      </c>
      <c r="Q160" s="12"/>
      <c r="R160" s="18"/>
      <c r="S160" s="11" t="s">
        <v>730</v>
      </c>
      <c r="T160" s="12"/>
      <c r="U160" s="10" t="str">
        <f>HYPERLINK("https://pbs.twimg.com/profile_images/957380005448835072/5TTX8UKi.jpg","View")</f>
        <v>View</v>
      </c>
    </row>
    <row r="161" spans="1:21" ht="30.6">
      <c r="A161" s="6">
        <v>43427.06649305555</v>
      </c>
      <c r="B161" s="7" t="str">
        <f>HYPERLINK("https://twitter.com/crishorizontal","@crishorizontal")</f>
        <v>@crishorizontal</v>
      </c>
      <c r="C161" s="8" t="s">
        <v>731</v>
      </c>
      <c r="D161" s="9" t="s">
        <v>45</v>
      </c>
      <c r="E161" s="10" t="str">
        <f>HYPERLINK("https://twitter.com/crishorizontal/status/1065901708491010048","1065901708491010048")</f>
        <v>1065901708491010048</v>
      </c>
      <c r="F161" s="11" t="s">
        <v>84</v>
      </c>
      <c r="G161" s="12"/>
      <c r="H161" s="12"/>
      <c r="I161" s="13">
        <v>0</v>
      </c>
      <c r="J161" s="13">
        <v>0</v>
      </c>
      <c r="K161" s="14" t="str">
        <f t="shared" si="28"/>
        <v>Twitter Web Client</v>
      </c>
      <c r="L161" s="13">
        <v>300</v>
      </c>
      <c r="M161" s="13">
        <v>972</v>
      </c>
      <c r="N161" s="13">
        <v>2</v>
      </c>
      <c r="O161" s="15"/>
      <c r="P161" s="6">
        <v>41953.572766203702</v>
      </c>
      <c r="Q161" s="12"/>
      <c r="R161" s="18"/>
      <c r="S161" s="12"/>
      <c r="T161" s="12"/>
      <c r="U161" s="10" t="str">
        <f>HYPERLINK("https://pbs.twimg.com/profile_images/537320661920649216/yJexhbME.jpeg","View")</f>
        <v>View</v>
      </c>
    </row>
    <row r="162" spans="1:21" ht="40.799999999999997">
      <c r="A162" s="6">
        <v>43427.065983796296</v>
      </c>
      <c r="B162" s="7" t="str">
        <f>HYPERLINK("https://twitter.com/JuanAlbyte","@JuanAlbyte")</f>
        <v>@JuanAlbyte</v>
      </c>
      <c r="C162" s="8" t="s">
        <v>733</v>
      </c>
      <c r="D162" s="9" t="s">
        <v>734</v>
      </c>
      <c r="E162" s="10" t="str">
        <f>HYPERLINK("https://twitter.com/JuanAlbyte/status/1065901525355118592","1065901525355118592")</f>
        <v>1065901525355118592</v>
      </c>
      <c r="F162" s="11" t="s">
        <v>42</v>
      </c>
      <c r="G162" s="12"/>
      <c r="H162" s="12"/>
      <c r="I162" s="13">
        <v>0</v>
      </c>
      <c r="J162" s="13">
        <v>0</v>
      </c>
      <c r="K162" s="14" t="str">
        <f>HYPERLINK("http://twitter.com/download/iphone","Twitter for iPhone")</f>
        <v>Twitter for iPhone</v>
      </c>
      <c r="L162" s="13">
        <v>1971</v>
      </c>
      <c r="M162" s="13">
        <v>3784</v>
      </c>
      <c r="N162" s="13">
        <v>20</v>
      </c>
      <c r="O162" s="15"/>
      <c r="P162" s="6">
        <v>41357.365717592591</v>
      </c>
      <c r="Q162" s="17" t="s">
        <v>550</v>
      </c>
      <c r="R162" s="16" t="s">
        <v>735</v>
      </c>
      <c r="S162" s="12"/>
      <c r="T162" s="12"/>
      <c r="U162" s="10" t="str">
        <f>HYPERLINK("https://pbs.twimg.com/profile_images/858400577704689664/HrP_VkXY.jpg","View")</f>
        <v>View</v>
      </c>
    </row>
    <row r="163" spans="1:21" ht="30.6">
      <c r="A163" s="6">
        <v>43427.065150462964</v>
      </c>
      <c r="B163" s="7" t="str">
        <f>HYPERLINK("https://twitter.com/JuanBcn56","@JuanBcn56")</f>
        <v>@JuanBcn56</v>
      </c>
      <c r="C163" s="8" t="s">
        <v>736</v>
      </c>
      <c r="D163" s="9" t="s">
        <v>737</v>
      </c>
      <c r="E163" s="10" t="str">
        <f>HYPERLINK("https://twitter.com/JuanBcn56/status/1065901222572498946","1065901222572498946")</f>
        <v>1065901222572498946</v>
      </c>
      <c r="F163" s="11" t="s">
        <v>84</v>
      </c>
      <c r="G163" s="12"/>
      <c r="H163" s="12"/>
      <c r="I163" s="13">
        <v>0</v>
      </c>
      <c r="J163" s="13">
        <v>0</v>
      </c>
      <c r="K163" s="14" t="str">
        <f>HYPERLINK("http://twitter.com","Twitter Web Client")</f>
        <v>Twitter Web Client</v>
      </c>
      <c r="L163" s="13">
        <v>493</v>
      </c>
      <c r="M163" s="13">
        <v>556</v>
      </c>
      <c r="N163" s="13">
        <v>17</v>
      </c>
      <c r="O163" s="15"/>
      <c r="P163" s="6">
        <v>40482.712384259255</v>
      </c>
      <c r="Q163" s="17" t="s">
        <v>340</v>
      </c>
      <c r="R163" s="18"/>
      <c r="S163" s="11" t="s">
        <v>738</v>
      </c>
      <c r="T163" s="12"/>
      <c r="U163" s="10" t="str">
        <f>HYPERLINK("https://pbs.twimg.com/profile_images/979283519712133125/LsgTl4W7.jpg","View")</f>
        <v>View</v>
      </c>
    </row>
    <row r="164" spans="1:21" ht="61.2">
      <c r="A164" s="6">
        <v>43427.064641203702</v>
      </c>
      <c r="B164" s="7" t="str">
        <f>HYPERLINK("https://twitter.com/txema_joseba","@txema_joseba")</f>
        <v>@txema_joseba</v>
      </c>
      <c r="C164" s="8" t="s">
        <v>739</v>
      </c>
      <c r="D164" s="9" t="s">
        <v>155</v>
      </c>
      <c r="E164" s="10" t="str">
        <f>HYPERLINK("https://twitter.com/txema_joseba/status/1065901036441935872","1065901036441935872")</f>
        <v>1065901036441935872</v>
      </c>
      <c r="F164" s="11" t="s">
        <v>156</v>
      </c>
      <c r="G164" s="11" t="s">
        <v>157</v>
      </c>
      <c r="H164" s="12"/>
      <c r="I164" s="13">
        <v>5</v>
      </c>
      <c r="J164" s="13">
        <v>2</v>
      </c>
      <c r="K164" s="14" t="str">
        <f>HYPERLINK("http://twitter.com/download/android","Twitter for Android")</f>
        <v>Twitter for Android</v>
      </c>
      <c r="L164" s="13">
        <v>6653</v>
      </c>
      <c r="M164" s="13">
        <v>6873</v>
      </c>
      <c r="N164" s="13">
        <v>34</v>
      </c>
      <c r="O164" s="15"/>
      <c r="P164" s="6">
        <v>41208.427557870367</v>
      </c>
      <c r="Q164" s="12"/>
      <c r="R164" s="16" t="s">
        <v>740</v>
      </c>
      <c r="S164" s="12"/>
      <c r="T164" s="12"/>
      <c r="U164" s="10" t="str">
        <f>HYPERLINK("https://pbs.twimg.com/profile_images/2767677804/c94fd40d597056fa95d9d81e81e8de38.jpeg","View")</f>
        <v>View</v>
      </c>
    </row>
    <row r="165" spans="1:21" ht="40.799999999999997">
      <c r="A165" s="6">
        <v>43427.063483796301</v>
      </c>
      <c r="B165" s="7" t="str">
        <f>HYPERLINK("https://twitter.com/franmaop","@franmaop")</f>
        <v>@franmaop</v>
      </c>
      <c r="C165" s="8" t="s">
        <v>741</v>
      </c>
      <c r="D165" s="9" t="s">
        <v>742</v>
      </c>
      <c r="E165" s="10" t="str">
        <f>HYPERLINK("https://twitter.com/franmaop/status/1065900618701828096","1065900618701828096")</f>
        <v>1065900618701828096</v>
      </c>
      <c r="F165" s="11" t="s">
        <v>743</v>
      </c>
      <c r="G165" s="12"/>
      <c r="H165" s="12"/>
      <c r="I165" s="13">
        <v>1</v>
      </c>
      <c r="J165" s="13">
        <v>0</v>
      </c>
      <c r="K165" s="14" t="str">
        <f>HYPERLINK("https://buffer.com","Buffer")</f>
        <v>Buffer</v>
      </c>
      <c r="L165" s="13">
        <v>20682</v>
      </c>
      <c r="M165" s="13">
        <v>13937</v>
      </c>
      <c r="N165" s="13">
        <v>262</v>
      </c>
      <c r="O165" s="15"/>
      <c r="P165" s="6">
        <v>39471.384097222224</v>
      </c>
      <c r="Q165" s="12"/>
      <c r="R165" s="16" t="s">
        <v>744</v>
      </c>
      <c r="S165" s="11" t="s">
        <v>745</v>
      </c>
      <c r="T165" s="12"/>
      <c r="U165" s="10" t="str">
        <f>HYPERLINK("https://pbs.twimg.com/profile_images/875780226206371842/FMywaV54.jpg","View")</f>
        <v>View</v>
      </c>
    </row>
    <row r="166" spans="1:21" ht="20.399999999999999">
      <c r="A166" s="6">
        <v>43427.0622337963</v>
      </c>
      <c r="B166" s="7" t="str">
        <f>HYPERLINK("https://twitter.com/Punktual_AK","@Punktual_AK")</f>
        <v>@Punktual_AK</v>
      </c>
      <c r="C166" s="8" t="s">
        <v>746</v>
      </c>
      <c r="D166" s="9" t="s">
        <v>747</v>
      </c>
      <c r="E166" s="10" t="str">
        <f>HYPERLINK("https://twitter.com/Punktual_AK/status/1065900167176560640","1065900167176560640")</f>
        <v>1065900167176560640</v>
      </c>
      <c r="F166" s="11" t="s">
        <v>748</v>
      </c>
      <c r="G166" s="12"/>
      <c r="H166" s="12"/>
      <c r="I166" s="13">
        <v>0</v>
      </c>
      <c r="J166" s="13">
        <v>0</v>
      </c>
      <c r="K166" s="14" t="str">
        <f>HYPERLINK("http://www.facebook.com/twitter","Facebook")</f>
        <v>Facebook</v>
      </c>
      <c r="L166" s="13">
        <v>158</v>
      </c>
      <c r="M166" s="13">
        <v>362</v>
      </c>
      <c r="N166" s="13">
        <v>0</v>
      </c>
      <c r="O166" s="15"/>
      <c r="P166" s="6">
        <v>40892.567777777775</v>
      </c>
      <c r="Q166" s="12"/>
      <c r="R166" s="16" t="s">
        <v>749</v>
      </c>
      <c r="S166" s="12"/>
      <c r="T166" s="12"/>
      <c r="U166" s="10" t="str">
        <f>HYPERLINK("https://pbs.twimg.com/profile_images/1700644009/uf.jpg","View")</f>
        <v>View</v>
      </c>
    </row>
    <row r="167" spans="1:21" ht="30.6">
      <c r="A167" s="6">
        <v>43427.062175925923</v>
      </c>
      <c r="B167" s="7" t="str">
        <f>HYPERLINK("https://twitter.com/pablo_nenas","@pablo_nenas")</f>
        <v>@pablo_nenas</v>
      </c>
      <c r="C167" s="8" t="s">
        <v>750</v>
      </c>
      <c r="D167" s="9" t="s">
        <v>45</v>
      </c>
      <c r="E167" s="10" t="str">
        <f>HYPERLINK("https://twitter.com/pablo_nenas/status/1065900142111440896","1065900142111440896")</f>
        <v>1065900142111440896</v>
      </c>
      <c r="F167" s="11" t="s">
        <v>47</v>
      </c>
      <c r="G167" s="12"/>
      <c r="H167" s="12"/>
      <c r="I167" s="13">
        <v>0</v>
      </c>
      <c r="J167" s="13">
        <v>0</v>
      </c>
      <c r="K167" s="14" t="str">
        <f>HYPERLINK("http://twitter.com/download/android","Twitter for Android")</f>
        <v>Twitter for Android</v>
      </c>
      <c r="L167" s="13">
        <v>313</v>
      </c>
      <c r="M167" s="13">
        <v>384</v>
      </c>
      <c r="N167" s="13">
        <v>14</v>
      </c>
      <c r="O167" s="15"/>
      <c r="P167" s="6">
        <v>40515.691111111111</v>
      </c>
      <c r="Q167" s="12"/>
      <c r="R167" s="16" t="s">
        <v>751</v>
      </c>
      <c r="S167" s="12"/>
      <c r="T167" s="12"/>
      <c r="U167" s="10" t="str">
        <f>HYPERLINK("https://pbs.twimg.com/profile_images/2903763540/3315e56eb9a8160fabe4a4d5e91a5723.jpeg","View")</f>
        <v>View</v>
      </c>
    </row>
    <row r="168" spans="1:21" ht="40.799999999999997">
      <c r="A168" s="6">
        <v>43427.061377314814</v>
      </c>
      <c r="B168" s="7" t="str">
        <f>HYPERLINK("https://twitter.com/CaballeroGea","@CaballeroGea")</f>
        <v>@CaballeroGea</v>
      </c>
      <c r="C168" s="8" t="s">
        <v>752</v>
      </c>
      <c r="D168" s="9" t="s">
        <v>753</v>
      </c>
      <c r="E168" s="10" t="str">
        <f>HYPERLINK("https://twitter.com/CaballeroGea/status/1065899853002276864","1065899853002276864")</f>
        <v>1065899853002276864</v>
      </c>
      <c r="F168" s="12"/>
      <c r="G168" s="12"/>
      <c r="H168" s="12"/>
      <c r="I168" s="13">
        <v>0</v>
      </c>
      <c r="J168" s="13">
        <v>0</v>
      </c>
      <c r="K168" s="14" t="str">
        <f t="shared" ref="K168:K172" si="29">HYPERLINK("http://twitter.com","Twitter Web Client")</f>
        <v>Twitter Web Client</v>
      </c>
      <c r="L168" s="13">
        <v>20245</v>
      </c>
      <c r="M168" s="13">
        <v>18235</v>
      </c>
      <c r="N168" s="13">
        <v>210</v>
      </c>
      <c r="O168" s="15"/>
      <c r="P168" s="6">
        <v>40256.424189814818</v>
      </c>
      <c r="Q168" s="17" t="s">
        <v>29</v>
      </c>
      <c r="R168" s="16" t="s">
        <v>754</v>
      </c>
      <c r="S168" s="11" t="s">
        <v>755</v>
      </c>
      <c r="T168" s="12"/>
      <c r="U168" s="10" t="str">
        <f>HYPERLINK("https://pbs.twimg.com/profile_images/768885566/Mina_Asdr_bal.jpg","View")</f>
        <v>View</v>
      </c>
    </row>
    <row r="169" spans="1:21" ht="40.799999999999997">
      <c r="A169" s="6">
        <v>43427.061273148152</v>
      </c>
      <c r="B169" s="7" t="str">
        <f>HYPERLINK("https://twitter.com/gustyea66","@gustyea66")</f>
        <v>@gustyea66</v>
      </c>
      <c r="C169" s="8" t="s">
        <v>756</v>
      </c>
      <c r="D169" s="9" t="s">
        <v>757</v>
      </c>
      <c r="E169" s="10" t="str">
        <f>HYPERLINK("https://twitter.com/gustyea66/status/1065899818306990080","1065899818306990080")</f>
        <v>1065899818306990080</v>
      </c>
      <c r="F169" s="11" t="s">
        <v>42</v>
      </c>
      <c r="G169" s="11" t="s">
        <v>758</v>
      </c>
      <c r="H169" s="12"/>
      <c r="I169" s="13">
        <v>0</v>
      </c>
      <c r="J169" s="13">
        <v>0</v>
      </c>
      <c r="K169" s="14" t="str">
        <f t="shared" si="29"/>
        <v>Twitter Web Client</v>
      </c>
      <c r="L169" s="13">
        <v>6031</v>
      </c>
      <c r="M169" s="13">
        <v>915</v>
      </c>
      <c r="N169" s="13">
        <v>47</v>
      </c>
      <c r="O169" s="15"/>
      <c r="P169" s="6">
        <v>40376.744606481479</v>
      </c>
      <c r="Q169" s="12"/>
      <c r="R169" s="16" t="s">
        <v>759</v>
      </c>
      <c r="S169" s="12"/>
      <c r="T169" s="12"/>
      <c r="U169" s="10" t="str">
        <f>HYPERLINK("https://pbs.twimg.com/profile_images/822229586012504065/b6zf3n6V.jpg","View")</f>
        <v>View</v>
      </c>
    </row>
    <row r="170" spans="1:21" ht="30.6">
      <c r="A170" s="6">
        <v>43427.057199074072</v>
      </c>
      <c r="B170" s="7" t="str">
        <f>HYPERLINK("https://twitter.com/xagago1973","@xagago1973")</f>
        <v>@xagago1973</v>
      </c>
      <c r="C170" s="8" t="s">
        <v>760</v>
      </c>
      <c r="D170" s="9" t="s">
        <v>761</v>
      </c>
      <c r="E170" s="10" t="str">
        <f>HYPERLINK("https://twitter.com/xagago1973/status/1065898339563126786","1065898339563126786")</f>
        <v>1065898339563126786</v>
      </c>
      <c r="F170" s="12"/>
      <c r="G170" s="11" t="s">
        <v>762</v>
      </c>
      <c r="H170" s="12"/>
      <c r="I170" s="13">
        <v>0</v>
      </c>
      <c r="J170" s="13">
        <v>0</v>
      </c>
      <c r="K170" s="14" t="str">
        <f t="shared" si="29"/>
        <v>Twitter Web Client</v>
      </c>
      <c r="L170" s="13">
        <v>744</v>
      </c>
      <c r="M170" s="13">
        <v>1773</v>
      </c>
      <c r="N170" s="13">
        <v>12</v>
      </c>
      <c r="O170" s="15"/>
      <c r="P170" s="6">
        <v>40634.653437499997</v>
      </c>
      <c r="Q170" s="17" t="s">
        <v>60</v>
      </c>
      <c r="R170" s="16" t="s">
        <v>763</v>
      </c>
      <c r="S170" s="12"/>
      <c r="T170" s="12"/>
      <c r="U170" s="10" t="str">
        <f>HYPERLINK("https://pbs.twimg.com/profile_images/1047438741785251841/NZMsk1CP.jpg","View")</f>
        <v>View</v>
      </c>
    </row>
    <row r="171" spans="1:21" ht="30.6">
      <c r="A171" s="6">
        <v>43427.056932870371</v>
      </c>
      <c r="B171" s="7" t="str">
        <f>HYPERLINK("https://twitter.com/LoTamarro","@LoTamarro")</f>
        <v>@LoTamarro</v>
      </c>
      <c r="C171" s="8" t="s">
        <v>764</v>
      </c>
      <c r="D171" s="9" t="s">
        <v>45</v>
      </c>
      <c r="E171" s="10" t="str">
        <f>HYPERLINK("https://twitter.com/LoTamarro/status/1065898244872593408","1065898244872593408")</f>
        <v>1065898244872593408</v>
      </c>
      <c r="F171" s="11" t="s">
        <v>84</v>
      </c>
      <c r="G171" s="12"/>
      <c r="H171" s="12"/>
      <c r="I171" s="13">
        <v>0</v>
      </c>
      <c r="J171" s="13">
        <v>0</v>
      </c>
      <c r="K171" s="14" t="str">
        <f t="shared" si="29"/>
        <v>Twitter Web Client</v>
      </c>
      <c r="L171" s="13">
        <v>130</v>
      </c>
      <c r="M171" s="13">
        <v>1723</v>
      </c>
      <c r="N171" s="13">
        <v>1</v>
      </c>
      <c r="O171" s="15"/>
      <c r="P171" s="6">
        <v>41973.473819444444</v>
      </c>
      <c r="Q171" s="12"/>
      <c r="R171" s="18"/>
      <c r="S171" s="12"/>
      <c r="T171" s="12"/>
      <c r="U171" s="10" t="str">
        <f>HYPERLINK("https://pbs.twimg.com/profile_images/1035187290010779648/jm82_dYI.jpg","View")</f>
        <v>View</v>
      </c>
    </row>
    <row r="172" spans="1:21" ht="20.399999999999999">
      <c r="A172" s="6">
        <v>43427.05569444444</v>
      </c>
      <c r="B172" s="7" t="str">
        <f>HYPERLINK("https://twitter.com/pelandusko","@pelandusko")</f>
        <v>@pelandusko</v>
      </c>
      <c r="C172" s="8" t="s">
        <v>765</v>
      </c>
      <c r="D172" s="9" t="s">
        <v>766</v>
      </c>
      <c r="E172" s="10" t="str">
        <f>HYPERLINK("https://twitter.com/pelandusko/status/1065897793536049153","1065897793536049153")</f>
        <v>1065897793536049153</v>
      </c>
      <c r="F172" s="11" t="s">
        <v>42</v>
      </c>
      <c r="G172" s="12"/>
      <c r="H172" s="12"/>
      <c r="I172" s="13">
        <v>0</v>
      </c>
      <c r="J172" s="13">
        <v>0</v>
      </c>
      <c r="K172" s="14" t="str">
        <f t="shared" si="29"/>
        <v>Twitter Web Client</v>
      </c>
      <c r="L172" s="13">
        <v>1384</v>
      </c>
      <c r="M172" s="13">
        <v>1649</v>
      </c>
      <c r="N172" s="13">
        <v>15</v>
      </c>
      <c r="O172" s="15"/>
      <c r="P172" s="6">
        <v>40681.714918981481</v>
      </c>
      <c r="Q172" s="17" t="s">
        <v>29</v>
      </c>
      <c r="R172" s="16" t="s">
        <v>767</v>
      </c>
      <c r="S172" s="12"/>
      <c r="T172" s="12"/>
      <c r="U172" s="10" t="str">
        <f>HYPERLINK("https://pbs.twimg.com/profile_images/958721138309427207/NTMxW77p.jpg","View")</f>
        <v>View</v>
      </c>
    </row>
    <row r="173" spans="1:21" ht="40.799999999999997">
      <c r="A173" s="6">
        <v>43427.055601851855</v>
      </c>
      <c r="B173" s="7" t="str">
        <f>HYPERLINK("https://twitter.com/PSOE","@PSOE")</f>
        <v>@PSOE</v>
      </c>
      <c r="C173" s="8" t="s">
        <v>768</v>
      </c>
      <c r="D173" s="9" t="s">
        <v>769</v>
      </c>
      <c r="E173" s="10" t="str">
        <f>HYPERLINK("https://twitter.com/PSOE/status/1065897759910346752","1065897759910346752")</f>
        <v>1065897759910346752</v>
      </c>
      <c r="F173" s="12"/>
      <c r="G173" s="11" t="s">
        <v>157</v>
      </c>
      <c r="H173" s="12"/>
      <c r="I173" s="13">
        <v>252</v>
      </c>
      <c r="J173" s="13">
        <v>280</v>
      </c>
      <c r="K173" s="14" t="str">
        <f>HYPERLINK("http://twitter.com/download/iphone","Twitter for iPhone")</f>
        <v>Twitter for iPhone</v>
      </c>
      <c r="L173" s="13">
        <v>636466</v>
      </c>
      <c r="M173" s="13">
        <v>13701</v>
      </c>
      <c r="N173" s="13">
        <v>5140</v>
      </c>
      <c r="O173" s="19" t="s">
        <v>74</v>
      </c>
      <c r="P173" s="6">
        <v>39990.075486111113</v>
      </c>
      <c r="Q173" s="17" t="s">
        <v>29</v>
      </c>
      <c r="R173" s="16" t="s">
        <v>770</v>
      </c>
      <c r="S173" s="11" t="s">
        <v>771</v>
      </c>
      <c r="T173" s="12"/>
      <c r="U173" s="10" t="str">
        <f>HYPERLINK("https://pbs.twimg.com/profile_images/1053528737000710144/n2rmuZ1o.jpg","View")</f>
        <v>View</v>
      </c>
    </row>
    <row r="174" spans="1:21" ht="40.799999999999997">
      <c r="A174" s="6">
        <v>43427.053854166668</v>
      </c>
      <c r="B174" s="7" t="str">
        <f>HYPERLINK("https://twitter.com/chorizosiberico","@chorizosiberico")</f>
        <v>@chorizosiberico</v>
      </c>
      <c r="C174" s="8" t="s">
        <v>772</v>
      </c>
      <c r="D174" s="9" t="s">
        <v>773</v>
      </c>
      <c r="E174" s="10" t="str">
        <f>HYPERLINK("https://twitter.com/chorizosiberico/status/1065897128659169281","1065897128659169281")</f>
        <v>1065897128659169281</v>
      </c>
      <c r="F174" s="11" t="s">
        <v>84</v>
      </c>
      <c r="G174" s="12"/>
      <c r="H174" s="12"/>
      <c r="I174" s="13">
        <v>0</v>
      </c>
      <c r="J174" s="13">
        <v>0</v>
      </c>
      <c r="K174" s="14" t="str">
        <f>HYPERLINK("http://twitter.com","Twitter Web Client")</f>
        <v>Twitter Web Client</v>
      </c>
      <c r="L174" s="13">
        <v>2179</v>
      </c>
      <c r="M174" s="13">
        <v>897</v>
      </c>
      <c r="N174" s="13">
        <v>64</v>
      </c>
      <c r="O174" s="15"/>
      <c r="P174" s="6">
        <v>40758.422835648147</v>
      </c>
      <c r="Q174" s="12"/>
      <c r="R174" s="16" t="s">
        <v>774</v>
      </c>
      <c r="S174" s="11" t="s">
        <v>775</v>
      </c>
      <c r="T174" s="12"/>
      <c r="U174" s="10" t="str">
        <f>HYPERLINK("https://pbs.twimg.com/profile_images/1045812787799359489/P8plge95.jpg","View")</f>
        <v>View</v>
      </c>
    </row>
    <row r="175" spans="1:21" ht="40.799999999999997">
      <c r="A175" s="6">
        <v>43427.053472222222</v>
      </c>
      <c r="B175" s="7" t="str">
        <f>HYPERLINK("https://twitter.com/elnacionalcat_e","@elnacionalcat_e")</f>
        <v>@elnacionalcat_e</v>
      </c>
      <c r="C175" s="8" t="s">
        <v>776</v>
      </c>
      <c r="D175" s="9" t="s">
        <v>777</v>
      </c>
      <c r="E175" s="10" t="str">
        <f>HYPERLINK("https://twitter.com/elnacionalcat_e/status/1065896989362143232","1065896989362143232")</f>
        <v>1065896989362143232</v>
      </c>
      <c r="F175" s="11" t="s">
        <v>677</v>
      </c>
      <c r="G175" s="12"/>
      <c r="H175" s="12"/>
      <c r="I175" s="13">
        <v>0</v>
      </c>
      <c r="J175" s="13">
        <v>1</v>
      </c>
      <c r="K175" s="14" t="str">
        <f>HYPERLINK("https://about.twitter.com/products/tweetdeck","TweetDeck")</f>
        <v>TweetDeck</v>
      </c>
      <c r="L175" s="13">
        <v>5489</v>
      </c>
      <c r="M175" s="13">
        <v>355</v>
      </c>
      <c r="N175" s="13">
        <v>167</v>
      </c>
      <c r="O175" s="15"/>
      <c r="P175" s="6">
        <v>42247.465567129635</v>
      </c>
      <c r="Q175" s="17" t="s">
        <v>638</v>
      </c>
      <c r="R175" s="16" t="s">
        <v>778</v>
      </c>
      <c r="S175" s="11" t="s">
        <v>779</v>
      </c>
      <c r="T175" s="12"/>
      <c r="U175" s="10" t="str">
        <f>HYPERLINK("https://pbs.twimg.com/profile_images/646298514385960960/VEutSP7L.png","View")</f>
        <v>View</v>
      </c>
    </row>
    <row r="176" spans="1:21" ht="30.6">
      <c r="A176" s="6">
        <v>43427.052083333328</v>
      </c>
      <c r="B176" s="7" t="str">
        <f>HYPERLINK("https://twitter.com/aragonpsoe","@aragonpsoe")</f>
        <v>@aragonpsoe</v>
      </c>
      <c r="C176" s="8" t="s">
        <v>780</v>
      </c>
      <c r="D176" s="9" t="s">
        <v>781</v>
      </c>
      <c r="E176" s="10" t="str">
        <f>HYPERLINK("https://twitter.com/aragonpsoe/status/1065896486456700928","1065896486456700928")</f>
        <v>1065896486456700928</v>
      </c>
      <c r="F176" s="12"/>
      <c r="G176" s="11" t="s">
        <v>782</v>
      </c>
      <c r="H176" s="12"/>
      <c r="I176" s="13">
        <v>5</v>
      </c>
      <c r="J176" s="13">
        <v>5</v>
      </c>
      <c r="K176" s="14" t="str">
        <f t="shared" ref="K176:K178" si="30">HYPERLINK("http://twitter.com","Twitter Web Client")</f>
        <v>Twitter Web Client</v>
      </c>
      <c r="L176" s="13">
        <v>7688</v>
      </c>
      <c r="M176" s="13">
        <v>3681</v>
      </c>
      <c r="N176" s="13">
        <v>160</v>
      </c>
      <c r="O176" s="19" t="s">
        <v>74</v>
      </c>
      <c r="P176" s="6">
        <v>40572.465277777781</v>
      </c>
      <c r="Q176" s="17" t="s">
        <v>324</v>
      </c>
      <c r="R176" s="16" t="s">
        <v>783</v>
      </c>
      <c r="S176" s="11" t="s">
        <v>784</v>
      </c>
      <c r="T176" s="12"/>
      <c r="U176" s="10" t="str">
        <f>HYPERLINK("https://pbs.twimg.com/profile_images/1012598376939118592/XzxEbHg6.jpg","View")</f>
        <v>View</v>
      </c>
    </row>
    <row r="177" spans="1:21" ht="40.799999999999997">
      <c r="A177" s="6">
        <v>43427.051655092597</v>
      </c>
      <c r="B177" s="7" t="str">
        <f>HYPERLINK("https://twitter.com/fcojaviergon","@fcojaviergon")</f>
        <v>@fcojaviergon</v>
      </c>
      <c r="C177" s="8" t="s">
        <v>785</v>
      </c>
      <c r="D177" s="9" t="s">
        <v>45</v>
      </c>
      <c r="E177" s="10" t="str">
        <f>HYPERLINK("https://twitter.com/fcojaviergon/status/1065896333507248128","1065896333507248128")</f>
        <v>1065896333507248128</v>
      </c>
      <c r="F177" s="11" t="s">
        <v>84</v>
      </c>
      <c r="G177" s="12"/>
      <c r="H177" s="12"/>
      <c r="I177" s="13">
        <v>0</v>
      </c>
      <c r="J177" s="13">
        <v>0</v>
      </c>
      <c r="K177" s="14" t="str">
        <f t="shared" si="30"/>
        <v>Twitter Web Client</v>
      </c>
      <c r="L177" s="13">
        <v>82</v>
      </c>
      <c r="M177" s="13">
        <v>279</v>
      </c>
      <c r="N177" s="13">
        <v>1</v>
      </c>
      <c r="O177" s="15"/>
      <c r="P177" s="6">
        <v>40794.094930555555</v>
      </c>
      <c r="Q177" s="12"/>
      <c r="R177" s="16" t="s">
        <v>786</v>
      </c>
      <c r="S177" s="12"/>
      <c r="T177" s="12"/>
      <c r="U177" s="10" t="str">
        <f>HYPERLINK("https://pbs.twimg.com/profile_images/1721816996/image.jpg","View")</f>
        <v>View</v>
      </c>
    </row>
    <row r="178" spans="1:21" ht="30.6">
      <c r="A178" s="6">
        <v>43427.051446759258</v>
      </c>
      <c r="B178" s="7" t="str">
        <f>HYPERLINK("https://twitter.com/cozden","@cozden")</f>
        <v>@cozden</v>
      </c>
      <c r="C178" s="8" t="s">
        <v>788</v>
      </c>
      <c r="D178" s="9" t="s">
        <v>45</v>
      </c>
      <c r="E178" s="10" t="str">
        <f>HYPERLINK("https://twitter.com/cozden/status/1065896257535774720","1065896257535774720")</f>
        <v>1065896257535774720</v>
      </c>
      <c r="F178" s="11" t="s">
        <v>84</v>
      </c>
      <c r="G178" s="12"/>
      <c r="H178" s="12"/>
      <c r="I178" s="13">
        <v>0</v>
      </c>
      <c r="J178" s="13">
        <v>0</v>
      </c>
      <c r="K178" s="14" t="str">
        <f t="shared" si="30"/>
        <v>Twitter Web Client</v>
      </c>
      <c r="L178" s="13">
        <v>3242</v>
      </c>
      <c r="M178" s="13">
        <v>4451</v>
      </c>
      <c r="N178" s="13">
        <v>139</v>
      </c>
      <c r="O178" s="15"/>
      <c r="P178" s="6">
        <v>40334.359826388885</v>
      </c>
      <c r="Q178" s="17" t="s">
        <v>789</v>
      </c>
      <c r="R178" s="16" t="s">
        <v>790</v>
      </c>
      <c r="S178" s="11" t="s">
        <v>791</v>
      </c>
      <c r="T178" s="12"/>
      <c r="U178" s="10" t="str">
        <f>HYPERLINK("https://pbs.twimg.com/profile_images/914924562386735105/ZrsfFh_j.jpg","View")</f>
        <v>View</v>
      </c>
    </row>
    <row r="179" spans="1:21" ht="30.6">
      <c r="A179" s="6">
        <v>43427.049479166672</v>
      </c>
      <c r="B179" s="7" t="str">
        <f>HYPERLINK("https://twitter.com/MaraFlix10","@MaraFlix10")</f>
        <v>@MaraFlix10</v>
      </c>
      <c r="C179" s="8" t="s">
        <v>792</v>
      </c>
      <c r="D179" s="9" t="s">
        <v>45</v>
      </c>
      <c r="E179" s="10" t="str">
        <f>HYPERLINK("https://twitter.com/MaraFlix10/status/1065895543354912768","1065895543354912768")</f>
        <v>1065895543354912768</v>
      </c>
      <c r="F179" s="11" t="s">
        <v>47</v>
      </c>
      <c r="G179" s="12"/>
      <c r="H179" s="12"/>
      <c r="I179" s="13">
        <v>0</v>
      </c>
      <c r="J179" s="13">
        <v>0</v>
      </c>
      <c r="K179" s="14" t="str">
        <f>HYPERLINK("http://twitter.com/download/iphone","Twitter for iPhone")</f>
        <v>Twitter for iPhone</v>
      </c>
      <c r="L179" s="13">
        <v>276</v>
      </c>
      <c r="M179" s="13">
        <v>686</v>
      </c>
      <c r="N179" s="13">
        <v>2</v>
      </c>
      <c r="O179" s="15"/>
      <c r="P179" s="6">
        <v>41935.197048611109</v>
      </c>
      <c r="Q179" s="12"/>
      <c r="R179" s="18"/>
      <c r="S179" s="12"/>
      <c r="T179" s="12"/>
      <c r="U179" s="10" t="str">
        <f>HYPERLINK("https://pbs.twimg.com/profile_images/727188458310094848/w-SLu5N4.jpg","View")</f>
        <v>View</v>
      </c>
    </row>
    <row r="180" spans="1:21" ht="20.399999999999999">
      <c r="A180" s="6">
        <v>43427.047824074078</v>
      </c>
      <c r="B180" s="7" t="str">
        <f>HYPERLINK("https://twitter.com/ieseccnn","@ieseccnn")</f>
        <v>@ieseccnn</v>
      </c>
      <c r="C180" s="8" t="s">
        <v>793</v>
      </c>
      <c r="D180" s="9" t="s">
        <v>794</v>
      </c>
      <c r="E180" s="10" t="str">
        <f>HYPERLINK("https://twitter.com/ieseccnn/status/1065894944186003457","1065894944186003457")</f>
        <v>1065894944186003457</v>
      </c>
      <c r="F180" s="11" t="s">
        <v>42</v>
      </c>
      <c r="G180" s="12"/>
      <c r="H180" s="12"/>
      <c r="I180" s="13">
        <v>0</v>
      </c>
      <c r="J180" s="13">
        <v>0</v>
      </c>
      <c r="K180" s="14" t="str">
        <f>HYPERLINK("http://www.facebook.com/twitter","Facebook")</f>
        <v>Facebook</v>
      </c>
      <c r="L180" s="13">
        <v>230</v>
      </c>
      <c r="M180" s="13">
        <v>231</v>
      </c>
      <c r="N180" s="13">
        <v>9</v>
      </c>
      <c r="O180" s="15"/>
      <c r="P180" s="6">
        <v>39972.490069444444</v>
      </c>
      <c r="Q180" s="17" t="s">
        <v>29</v>
      </c>
      <c r="R180" s="16" t="s">
        <v>795</v>
      </c>
      <c r="S180" s="11" t="s">
        <v>796</v>
      </c>
      <c r="T180" s="12"/>
      <c r="U180" s="10" t="str">
        <f>HYPERLINK("https://pbs.twimg.com/profile_images/878298464291106817/vtxbbpe7.jpg","View")</f>
        <v>View</v>
      </c>
    </row>
    <row r="181" spans="1:21" ht="20.399999999999999">
      <c r="A181" s="6">
        <v>43427.045555555553</v>
      </c>
      <c r="B181" s="7" t="str">
        <f>HYPERLINK("https://twitter.com/JuanBcn56","@JuanBcn56")</f>
        <v>@JuanBcn56</v>
      </c>
      <c r="C181" s="8" t="s">
        <v>736</v>
      </c>
      <c r="D181" s="9" t="s">
        <v>664</v>
      </c>
      <c r="E181" s="10" t="str">
        <f>HYPERLINK("https://twitter.com/JuanBcn56/status/1065894123226451969","1065894123226451969")</f>
        <v>1065894123226451969</v>
      </c>
      <c r="F181" s="11" t="s">
        <v>361</v>
      </c>
      <c r="G181" s="12"/>
      <c r="H181" s="12"/>
      <c r="I181" s="13">
        <v>0</v>
      </c>
      <c r="J181" s="13">
        <v>0</v>
      </c>
      <c r="K181" s="14" t="str">
        <f t="shared" ref="K181:K182" si="31">HYPERLINK("http://twitter.com","Twitter Web Client")</f>
        <v>Twitter Web Client</v>
      </c>
      <c r="L181" s="13">
        <v>493</v>
      </c>
      <c r="M181" s="13">
        <v>556</v>
      </c>
      <c r="N181" s="13">
        <v>17</v>
      </c>
      <c r="O181" s="15"/>
      <c r="P181" s="6">
        <v>40482.712384259255</v>
      </c>
      <c r="Q181" s="17" t="s">
        <v>340</v>
      </c>
      <c r="R181" s="18"/>
      <c r="S181" s="11" t="s">
        <v>738</v>
      </c>
      <c r="T181" s="12"/>
      <c r="U181" s="10" t="str">
        <f>HYPERLINK("https://pbs.twimg.com/profile_images/979283519712133125/LsgTl4W7.jpg","View")</f>
        <v>View</v>
      </c>
    </row>
    <row r="182" spans="1:21" ht="40.799999999999997">
      <c r="A182" s="6">
        <v>43427.045358796298</v>
      </c>
      <c r="B182" s="7" t="str">
        <f>HYPERLINK("https://twitter.com/pepebarrio1","@pepebarrio1")</f>
        <v>@pepebarrio1</v>
      </c>
      <c r="C182" s="8" t="s">
        <v>797</v>
      </c>
      <c r="D182" s="9" t="s">
        <v>798</v>
      </c>
      <c r="E182" s="10" t="str">
        <f>HYPERLINK("https://twitter.com/pepebarrio1/status/1065894051038285824","1065894051038285824")</f>
        <v>1065894051038285824</v>
      </c>
      <c r="F182" s="11" t="s">
        <v>84</v>
      </c>
      <c r="G182" s="12"/>
      <c r="H182" s="12"/>
      <c r="I182" s="13">
        <v>3</v>
      </c>
      <c r="J182" s="13">
        <v>1</v>
      </c>
      <c r="K182" s="14" t="str">
        <f t="shared" si="31"/>
        <v>Twitter Web Client</v>
      </c>
      <c r="L182" s="13">
        <v>167</v>
      </c>
      <c r="M182" s="13">
        <v>185</v>
      </c>
      <c r="N182" s="13">
        <v>2</v>
      </c>
      <c r="O182" s="15"/>
      <c r="P182" s="6">
        <v>41104.462175925924</v>
      </c>
      <c r="Q182" s="12"/>
      <c r="R182" s="16" t="s">
        <v>799</v>
      </c>
      <c r="S182" s="12"/>
      <c r="T182" s="12"/>
      <c r="U182" s="10" t="str">
        <f>HYPERLINK("https://pbs.twimg.com/profile_images/681578178738032640/-3X3sMk7.jpg","View")</f>
        <v>View</v>
      </c>
    </row>
    <row r="183" spans="1:21" ht="40.799999999999997">
      <c r="A183" s="6">
        <v>43427.045104166667</v>
      </c>
      <c r="B183" s="7" t="str">
        <f>HYPERLINK("https://twitter.com/domenec_ortiz","@domenec_ortiz")</f>
        <v>@domenec_ortiz</v>
      </c>
      <c r="C183" s="8" t="s">
        <v>800</v>
      </c>
      <c r="D183" s="9" t="s">
        <v>801</v>
      </c>
      <c r="E183" s="10" t="str">
        <f>HYPERLINK("https://twitter.com/domenec_ortiz/status/1065893958474174464","1065893958474174464")</f>
        <v>1065893958474174464</v>
      </c>
      <c r="F183" s="11" t="s">
        <v>47</v>
      </c>
      <c r="G183" s="12"/>
      <c r="H183" s="12"/>
      <c r="I183" s="13">
        <v>3</v>
      </c>
      <c r="J183" s="13">
        <v>1</v>
      </c>
      <c r="K183" s="14" t="str">
        <f>HYPERLINK("http://twitter.com/download/iphone","Twitter for iPhone")</f>
        <v>Twitter for iPhone</v>
      </c>
      <c r="L183" s="13">
        <v>9268</v>
      </c>
      <c r="M183" s="13">
        <v>5970</v>
      </c>
      <c r="N183" s="13">
        <v>73</v>
      </c>
      <c r="O183" s="15"/>
      <c r="P183" s="6">
        <v>41310.400046296294</v>
      </c>
      <c r="Q183" s="17" t="s">
        <v>802</v>
      </c>
      <c r="R183" s="16" t="s">
        <v>803</v>
      </c>
      <c r="S183" s="12"/>
      <c r="T183" s="12"/>
      <c r="U183" s="10" t="str">
        <f>HYPERLINK("https://pbs.twimg.com/profile_images/378800000699264746/5987c0916b8a717f3bb1b4d28f125346.jpeg","View")</f>
        <v>View</v>
      </c>
    </row>
    <row r="184" spans="1:21" ht="40.799999999999997">
      <c r="A184" s="6">
        <v>43427.044270833328</v>
      </c>
      <c r="B184" s="7" t="str">
        <f>HYPERLINK("https://twitter.com/BySanso","@BySanso")</f>
        <v>@BySanso</v>
      </c>
      <c r="C184" s="8" t="s">
        <v>804</v>
      </c>
      <c r="D184" s="9" t="s">
        <v>41</v>
      </c>
      <c r="E184" s="10" t="str">
        <f>HYPERLINK("https://twitter.com/BySanso/status/1065893655112753152","1065893655112753152")</f>
        <v>1065893655112753152</v>
      </c>
      <c r="F184" s="11" t="s">
        <v>743</v>
      </c>
      <c r="G184" s="12"/>
      <c r="H184" s="12"/>
      <c r="I184" s="13">
        <v>0</v>
      </c>
      <c r="J184" s="13">
        <v>0</v>
      </c>
      <c r="K184" s="14" t="str">
        <f>HYPERLINK("https://buffer.com","Buffer")</f>
        <v>Buffer</v>
      </c>
      <c r="L184" s="13">
        <v>1154</v>
      </c>
      <c r="M184" s="13">
        <v>1375</v>
      </c>
      <c r="N184" s="13">
        <v>141</v>
      </c>
      <c r="O184" s="15"/>
      <c r="P184" s="6">
        <v>40304.338854166665</v>
      </c>
      <c r="Q184" s="17" t="s">
        <v>805</v>
      </c>
      <c r="R184" s="16" t="s">
        <v>806</v>
      </c>
      <c r="S184" s="11" t="s">
        <v>807</v>
      </c>
      <c r="T184" s="12"/>
      <c r="U184" s="10" t="str">
        <f>HYPERLINK("https://pbs.twimg.com/profile_images/426627757213106176/vkH4tqpy.jpeg","View")</f>
        <v>View</v>
      </c>
    </row>
    <row r="185" spans="1:21" ht="40.799999999999997">
      <c r="A185" s="6">
        <v>43427.042187500003</v>
      </c>
      <c r="B185" s="7" t="str">
        <f>HYPERLINK("https://twitter.com/RamonLuque1","@RamonLuque1")</f>
        <v>@RamonLuque1</v>
      </c>
      <c r="C185" s="8" t="s">
        <v>808</v>
      </c>
      <c r="D185" s="9" t="s">
        <v>45</v>
      </c>
      <c r="E185" s="10" t="str">
        <f>HYPERLINK("https://twitter.com/RamonLuque1/status/1065892898733023232","1065892898733023232")</f>
        <v>1065892898733023232</v>
      </c>
      <c r="F185" s="11" t="s">
        <v>47</v>
      </c>
      <c r="G185" s="12"/>
      <c r="H185" s="12"/>
      <c r="I185" s="13">
        <v>0</v>
      </c>
      <c r="J185" s="13">
        <v>0</v>
      </c>
      <c r="K185" s="14" t="str">
        <f>HYPERLINK("http://twitter.com/download/android","Twitter for Android")</f>
        <v>Twitter for Android</v>
      </c>
      <c r="L185" s="13">
        <v>5209</v>
      </c>
      <c r="M185" s="13">
        <v>1565</v>
      </c>
      <c r="N185" s="13">
        <v>116</v>
      </c>
      <c r="O185" s="15"/>
      <c r="P185" s="6">
        <v>40694.089745370373</v>
      </c>
      <c r="Q185" s="12"/>
      <c r="R185" s="16" t="s">
        <v>809</v>
      </c>
      <c r="S185" s="12"/>
      <c r="T185" s="12"/>
      <c r="U185" s="10" t="str">
        <f>HYPERLINK("https://pbs.twimg.com/profile_images/681852163723771904/nxhKUP0S.jpg","View")</f>
        <v>View</v>
      </c>
    </row>
    <row r="186" spans="1:21" ht="20.399999999999999">
      <c r="A186" s="6">
        <v>43427.041666666672</v>
      </c>
      <c r="B186" s="7" t="str">
        <f>HYPERLINK("https://twitter.com/eljueves","@eljueves")</f>
        <v>@eljueves</v>
      </c>
      <c r="C186" s="8" t="s">
        <v>811</v>
      </c>
      <c r="D186" s="9" t="s">
        <v>116</v>
      </c>
      <c r="E186" s="10" t="str">
        <f>HYPERLINK("https://twitter.com/eljueves/status/1065892713067769857","1065892713067769857")</f>
        <v>1065892713067769857</v>
      </c>
      <c r="F186" s="11" t="s">
        <v>117</v>
      </c>
      <c r="G186" s="12"/>
      <c r="H186" s="12"/>
      <c r="I186" s="13">
        <v>446</v>
      </c>
      <c r="J186" s="13">
        <v>914</v>
      </c>
      <c r="K186" s="14" t="str">
        <f>HYPERLINK("https://about.twitter.com/products/tweetdeck","TweetDeck")</f>
        <v>TweetDeck</v>
      </c>
      <c r="L186" s="13">
        <v>1094238</v>
      </c>
      <c r="M186" s="13">
        <v>598</v>
      </c>
      <c r="N186" s="13">
        <v>6084</v>
      </c>
      <c r="O186" s="19" t="s">
        <v>74</v>
      </c>
      <c r="P186" s="6">
        <v>39757.339386574073</v>
      </c>
      <c r="Q186" s="17" t="s">
        <v>29</v>
      </c>
      <c r="R186" s="16" t="s">
        <v>812</v>
      </c>
      <c r="S186" s="11" t="s">
        <v>813</v>
      </c>
      <c r="T186" s="12"/>
      <c r="U186" s="10" t="str">
        <f>HYPERLINK("https://pbs.twimg.com/profile_images/378800000384529554/ce1c0f07805fb6c778364d8ad578a349.png","View")</f>
        <v>View</v>
      </c>
    </row>
    <row r="187" spans="1:21" ht="20.399999999999999">
      <c r="A187" s="6">
        <v>43427.041666666672</v>
      </c>
      <c r="B187" s="7" t="str">
        <f>HYPERLINK("https://twitter.com/RAMONYOPS","@RAMONYOPS")</f>
        <v>@RAMONYOPS</v>
      </c>
      <c r="C187" s="8" t="s">
        <v>814</v>
      </c>
      <c r="D187" s="9" t="s">
        <v>189</v>
      </c>
      <c r="E187" s="10" t="str">
        <f>HYPERLINK("https://twitter.com/RAMONYOPS/status/1065892713063751683","1065892713063751683")</f>
        <v>1065892713063751683</v>
      </c>
      <c r="F187" s="11" t="s">
        <v>190</v>
      </c>
      <c r="G187" s="12"/>
      <c r="H187" s="12"/>
      <c r="I187" s="13">
        <v>0</v>
      </c>
      <c r="J187" s="13">
        <v>0</v>
      </c>
      <c r="K187" s="14" t="str">
        <f t="shared" ref="K187:K188" si="32">HYPERLINK("http://twitter.com/download/android","Twitter for Android")</f>
        <v>Twitter for Android</v>
      </c>
      <c r="L187" s="13">
        <v>1709</v>
      </c>
      <c r="M187" s="13">
        <v>1766</v>
      </c>
      <c r="N187" s="13">
        <v>21</v>
      </c>
      <c r="O187" s="15"/>
      <c r="P187" s="6">
        <v>39877.41920138889</v>
      </c>
      <c r="Q187" s="12"/>
      <c r="R187" s="16" t="s">
        <v>815</v>
      </c>
      <c r="S187" s="11" t="s">
        <v>816</v>
      </c>
      <c r="T187" s="12"/>
      <c r="U187" s="10" t="str">
        <f>HYPERLINK("https://pbs.twimg.com/profile_images/1064903701175906305/juDxNOsb.jpg","View")</f>
        <v>View</v>
      </c>
    </row>
    <row r="188" spans="1:21" ht="30.6">
      <c r="A188" s="6">
        <v>43427.041134259256</v>
      </c>
      <c r="B188" s="7" t="str">
        <f>HYPERLINK("https://twitter.com/pradoalberdi","@pradoalberdi")</f>
        <v>@pradoalberdi</v>
      </c>
      <c r="C188" s="8" t="s">
        <v>817</v>
      </c>
      <c r="D188" s="9" t="s">
        <v>45</v>
      </c>
      <c r="E188" s="10" t="str">
        <f>HYPERLINK("https://twitter.com/pradoalberdi/status/1065892519014268929","1065892519014268929")</f>
        <v>1065892519014268929</v>
      </c>
      <c r="F188" s="11" t="s">
        <v>47</v>
      </c>
      <c r="G188" s="12"/>
      <c r="H188" s="12"/>
      <c r="I188" s="13">
        <v>0</v>
      </c>
      <c r="J188" s="13">
        <v>0</v>
      </c>
      <c r="K188" s="14" t="str">
        <f t="shared" si="32"/>
        <v>Twitter for Android</v>
      </c>
      <c r="L188" s="13">
        <v>2749</v>
      </c>
      <c r="M188" s="13">
        <v>2753</v>
      </c>
      <c r="N188" s="13">
        <v>76</v>
      </c>
      <c r="O188" s="15"/>
      <c r="P188" s="6">
        <v>39912.622858796298</v>
      </c>
      <c r="Q188" s="17" t="s">
        <v>818</v>
      </c>
      <c r="R188" s="16" t="s">
        <v>819</v>
      </c>
      <c r="S188" s="11" t="s">
        <v>820</v>
      </c>
      <c r="T188" s="12"/>
      <c r="U188" s="10" t="str">
        <f>HYPERLINK("https://pbs.twimg.com/profile_images/1471182899/ALBERDI_PERFIL.jpg","View")</f>
        <v>View</v>
      </c>
    </row>
    <row r="189" spans="1:21" ht="30.6">
      <c r="A189" s="6">
        <v>43427.040486111116</v>
      </c>
      <c r="B189" s="7" t="str">
        <f>HYPERLINK("https://twitter.com/CastrVicente","@CastrVicente")</f>
        <v>@CastrVicente</v>
      </c>
      <c r="C189" s="8" t="s">
        <v>821</v>
      </c>
      <c r="D189" s="9" t="s">
        <v>45</v>
      </c>
      <c r="E189" s="10" t="str">
        <f>HYPERLINK("https://twitter.com/CastrVicente/status/1065892282174529537","1065892282174529537")</f>
        <v>1065892282174529537</v>
      </c>
      <c r="F189" s="11" t="s">
        <v>84</v>
      </c>
      <c r="G189" s="12"/>
      <c r="H189" s="12"/>
      <c r="I189" s="13">
        <v>0</v>
      </c>
      <c r="J189" s="13">
        <v>0</v>
      </c>
      <c r="K189" s="14" t="str">
        <f>HYPERLINK("http://twitter.com","Twitter Web Client")</f>
        <v>Twitter Web Client</v>
      </c>
      <c r="L189" s="13">
        <v>1554</v>
      </c>
      <c r="M189" s="13">
        <v>1381</v>
      </c>
      <c r="N189" s="13">
        <v>83</v>
      </c>
      <c r="O189" s="15"/>
      <c r="P189" s="6">
        <v>40682.415925925925</v>
      </c>
      <c r="Q189" s="17" t="s">
        <v>822</v>
      </c>
      <c r="R189" s="16" t="s">
        <v>823</v>
      </c>
      <c r="S189" s="11" t="s">
        <v>824</v>
      </c>
      <c r="T189" s="12"/>
      <c r="U189" s="10" t="str">
        <f>HYPERLINK("https://pbs.twimg.com/profile_images/935107063239364608/NPDVe0Fy.jpg","View")</f>
        <v>View</v>
      </c>
    </row>
    <row r="190" spans="1:21" ht="40.799999999999997">
      <c r="A190" s="6">
        <v>43427.039467592593</v>
      </c>
      <c r="B190" s="7" t="str">
        <f>HYPERLINK("https://twitter.com/MorfacC","@MorfacC")</f>
        <v>@MorfacC</v>
      </c>
      <c r="C190" s="8" t="s">
        <v>825</v>
      </c>
      <c r="D190" s="9" t="s">
        <v>826</v>
      </c>
      <c r="E190" s="10" t="str">
        <f>HYPERLINK("https://twitter.com/MorfacC/status/1065891916707962880","1065891916707962880")</f>
        <v>1065891916707962880</v>
      </c>
      <c r="F190" s="11" t="s">
        <v>292</v>
      </c>
      <c r="G190" s="12"/>
      <c r="H190" s="12"/>
      <c r="I190" s="13">
        <v>0</v>
      </c>
      <c r="J190" s="13">
        <v>0</v>
      </c>
      <c r="K190" s="14" t="str">
        <f>HYPERLINK("http://twitter.com/download/android","Twitter for Android")</f>
        <v>Twitter for Android</v>
      </c>
      <c r="L190" s="13">
        <v>33</v>
      </c>
      <c r="M190" s="13">
        <v>185</v>
      </c>
      <c r="N190" s="13">
        <v>0</v>
      </c>
      <c r="O190" s="15"/>
      <c r="P190" s="6">
        <v>43248.069467592592</v>
      </c>
      <c r="Q190" s="17" t="s">
        <v>827</v>
      </c>
      <c r="R190" s="16" t="s">
        <v>828</v>
      </c>
      <c r="S190" s="12"/>
      <c r="T190" s="12"/>
      <c r="U190" s="10" t="str">
        <f>HYPERLINK("https://pbs.twimg.com/profile_images/1064853158491508737/KqxLouF6.jpg","View")</f>
        <v>View</v>
      </c>
    </row>
    <row r="191" spans="1:21" ht="30.6">
      <c r="A191" s="6">
        <v>43427.038784722223</v>
      </c>
      <c r="B191" s="7" t="str">
        <f>HYPERLINK("https://twitter.com/topial","@topial")</f>
        <v>@topial</v>
      </c>
      <c r="C191" s="8" t="s">
        <v>829</v>
      </c>
      <c r="D191" s="9" t="s">
        <v>45</v>
      </c>
      <c r="E191" s="10" t="str">
        <f>HYPERLINK("https://twitter.com/topial/status/1065891668287725568","1065891668287725568")</f>
        <v>1065891668287725568</v>
      </c>
      <c r="F191" s="11" t="s">
        <v>84</v>
      </c>
      <c r="G191" s="12"/>
      <c r="H191" s="12"/>
      <c r="I191" s="13">
        <v>0</v>
      </c>
      <c r="J191" s="13">
        <v>0</v>
      </c>
      <c r="K191" s="14" t="str">
        <f>HYPERLINK("http://twitter.com","Twitter Web Client")</f>
        <v>Twitter Web Client</v>
      </c>
      <c r="L191" s="13">
        <v>85</v>
      </c>
      <c r="M191" s="13">
        <v>346</v>
      </c>
      <c r="N191" s="13">
        <v>5</v>
      </c>
      <c r="O191" s="15"/>
      <c r="P191" s="6">
        <v>40516.426307870366</v>
      </c>
      <c r="Q191" s="17" t="s">
        <v>830</v>
      </c>
      <c r="R191" s="18"/>
      <c r="S191" s="12"/>
      <c r="T191" s="12"/>
      <c r="U191" s="10" t="str">
        <f>HYPERLINK("https://pbs.twimg.com/profile_images/1014884236241915909/GUqVv_Um.jpg","View")</f>
        <v>View</v>
      </c>
    </row>
    <row r="192" spans="1:21" ht="30.6">
      <c r="A192" s="6">
        <v>43427.038240740745</v>
      </c>
      <c r="B192" s="7" t="str">
        <f>HYPERLINK("https://twitter.com/RamonMLGA","@RamonMLGA")</f>
        <v>@RamonMLGA</v>
      </c>
      <c r="C192" s="8" t="s">
        <v>831</v>
      </c>
      <c r="D192" s="9" t="s">
        <v>45</v>
      </c>
      <c r="E192" s="10" t="str">
        <f>HYPERLINK("https://twitter.com/RamonMLGA/status/1065891468563365889","1065891468563365889")</f>
        <v>1065891468563365889</v>
      </c>
      <c r="F192" s="11" t="s">
        <v>47</v>
      </c>
      <c r="G192" s="12"/>
      <c r="H192" s="12"/>
      <c r="I192" s="13">
        <v>1</v>
      </c>
      <c r="J192" s="13">
        <v>2</v>
      </c>
      <c r="K192" s="14" t="str">
        <f>HYPERLINK("http://twitter.com/download/iphone","Twitter for iPhone")</f>
        <v>Twitter for iPhone</v>
      </c>
      <c r="L192" s="13">
        <v>9937</v>
      </c>
      <c r="M192" s="13">
        <v>5134</v>
      </c>
      <c r="N192" s="13">
        <v>82</v>
      </c>
      <c r="O192" s="15"/>
      <c r="P192" s="6">
        <v>41993.259409722217</v>
      </c>
      <c r="Q192" s="17" t="s">
        <v>506</v>
      </c>
      <c r="R192" s="16" t="s">
        <v>832</v>
      </c>
      <c r="S192" s="11" t="s">
        <v>833</v>
      </c>
      <c r="T192" s="12"/>
      <c r="U192" s="10" t="str">
        <f>HYPERLINK("https://pbs.twimg.com/profile_images/1064883832757866496/YwnWCi4f.jpg","View")</f>
        <v>View</v>
      </c>
    </row>
    <row r="193" spans="1:21" ht="40.799999999999997">
      <c r="A193" s="6">
        <v>43427.037777777776</v>
      </c>
      <c r="B193" s="7" t="str">
        <f>HYPERLINK("https://twitter.com/AManforgoten","@AManforgoten")</f>
        <v>@AManforgoten</v>
      </c>
      <c r="C193" s="8" t="s">
        <v>834</v>
      </c>
      <c r="D193" s="9" t="s">
        <v>835</v>
      </c>
      <c r="E193" s="10" t="str">
        <f>HYPERLINK("https://twitter.com/AManforgoten/status/1065891302796128257","1065891302796128257")</f>
        <v>1065891302796128257</v>
      </c>
      <c r="F193" s="11" t="s">
        <v>836</v>
      </c>
      <c r="G193" s="12"/>
      <c r="H193" s="12"/>
      <c r="I193" s="13">
        <v>0</v>
      </c>
      <c r="J193" s="13">
        <v>0</v>
      </c>
      <c r="K193" s="14" t="str">
        <f>HYPERLINK("http://twitter.com/download/android","Twitter for Android")</f>
        <v>Twitter for Android</v>
      </c>
      <c r="L193" s="13">
        <v>5544</v>
      </c>
      <c r="M193" s="13">
        <v>5980</v>
      </c>
      <c r="N193" s="13">
        <v>120</v>
      </c>
      <c r="O193" s="15"/>
      <c r="P193" s="6">
        <v>41128.046597222223</v>
      </c>
      <c r="Q193" s="17" t="s">
        <v>29</v>
      </c>
      <c r="R193" s="16" t="s">
        <v>837</v>
      </c>
      <c r="S193" s="12"/>
      <c r="T193" s="12"/>
      <c r="U193" s="10" t="str">
        <f>HYPERLINK("https://pbs.twimg.com/profile_images/843629996681969664/GPYHnScE.jpg","View")</f>
        <v>View</v>
      </c>
    </row>
    <row r="194" spans="1:21" ht="30.6">
      <c r="A194" s="6">
        <v>43427.037303240737</v>
      </c>
      <c r="B194" s="7" t="str">
        <f>HYPERLINK("https://twitter.com/VdeRuben","@VdeRuben")</f>
        <v>@VdeRuben</v>
      </c>
      <c r="C194" s="8" t="s">
        <v>838</v>
      </c>
      <c r="D194" s="9" t="s">
        <v>839</v>
      </c>
      <c r="E194" s="10" t="str">
        <f>HYPERLINK("https://twitter.com/VdeRuben/status/1065891129680384000","1065891129680384000")</f>
        <v>1065891129680384000</v>
      </c>
      <c r="F194" s="12"/>
      <c r="G194" s="11" t="s">
        <v>840</v>
      </c>
      <c r="H194" s="12"/>
      <c r="I194" s="13">
        <v>0</v>
      </c>
      <c r="J194" s="13">
        <v>0</v>
      </c>
      <c r="K194" s="14" t="str">
        <f t="shared" ref="K194:K198" si="33">HYPERLINK("http://twitter.com","Twitter Web Client")</f>
        <v>Twitter Web Client</v>
      </c>
      <c r="L194" s="13">
        <v>2082</v>
      </c>
      <c r="M194" s="13">
        <v>605</v>
      </c>
      <c r="N194" s="13">
        <v>34</v>
      </c>
      <c r="O194" s="15"/>
      <c r="P194" s="6">
        <v>41044.057314814811</v>
      </c>
      <c r="Q194" s="17" t="s">
        <v>841</v>
      </c>
      <c r="R194" s="16" t="s">
        <v>842</v>
      </c>
      <c r="S194" s="12"/>
      <c r="T194" s="12"/>
      <c r="U194" s="10" t="str">
        <f>HYPERLINK("https://pbs.twimg.com/profile_images/897131882210570273/ztVs4LG1.jpg","View")</f>
        <v>View</v>
      </c>
    </row>
    <row r="195" spans="1:21" ht="30.6">
      <c r="A195" s="6">
        <v>43427.036365740743</v>
      </c>
      <c r="B195" s="7" t="str">
        <f>HYPERLINK("https://twitter.com/VaIIsDe","@VaIIsDe")</f>
        <v>@VaIIsDe</v>
      </c>
      <c r="C195" s="8" t="s">
        <v>843</v>
      </c>
      <c r="D195" s="9" t="s">
        <v>266</v>
      </c>
      <c r="E195" s="10" t="str">
        <f>HYPERLINK("https://twitter.com/VaIIsDe/status/1065890790252167168","1065890790252167168")</f>
        <v>1065890790252167168</v>
      </c>
      <c r="F195" s="11" t="s">
        <v>267</v>
      </c>
      <c r="G195" s="12"/>
      <c r="H195" s="12"/>
      <c r="I195" s="13">
        <v>0</v>
      </c>
      <c r="J195" s="13">
        <v>0</v>
      </c>
      <c r="K195" s="14" t="str">
        <f t="shared" si="33"/>
        <v>Twitter Web Client</v>
      </c>
      <c r="L195" s="13">
        <v>1632</v>
      </c>
      <c r="M195" s="13">
        <v>835</v>
      </c>
      <c r="N195" s="13">
        <v>14</v>
      </c>
      <c r="O195" s="15"/>
      <c r="P195" s="6">
        <v>40864.066261574073</v>
      </c>
      <c r="Q195" s="17" t="s">
        <v>118</v>
      </c>
      <c r="R195" s="16" t="s">
        <v>844</v>
      </c>
      <c r="S195" s="12"/>
      <c r="T195" s="12"/>
      <c r="U195" s="10" t="str">
        <f>HYPERLINK("https://pbs.twimg.com/profile_images/943407567597948928/TJ_BwVNB.jpg","View")</f>
        <v>View</v>
      </c>
    </row>
    <row r="196" spans="1:21" ht="40.799999999999997">
      <c r="A196" s="6">
        <v>43427.036273148144</v>
      </c>
      <c r="B196" s="7" t="str">
        <f>HYPERLINK("https://twitter.com/nefeerr","@nefeerr")</f>
        <v>@nefeerr</v>
      </c>
      <c r="C196" s="8" t="s">
        <v>845</v>
      </c>
      <c r="D196" s="9" t="s">
        <v>45</v>
      </c>
      <c r="E196" s="10" t="str">
        <f>HYPERLINK("https://twitter.com/nefeerr/status/1065890758434177025","1065890758434177025")</f>
        <v>1065890758434177025</v>
      </c>
      <c r="F196" s="11" t="s">
        <v>47</v>
      </c>
      <c r="G196" s="12"/>
      <c r="H196" s="12"/>
      <c r="I196" s="13">
        <v>1</v>
      </c>
      <c r="J196" s="13">
        <v>1</v>
      </c>
      <c r="K196" s="14" t="str">
        <f t="shared" si="33"/>
        <v>Twitter Web Client</v>
      </c>
      <c r="L196" s="13">
        <v>72817</v>
      </c>
      <c r="M196" s="13">
        <v>78986</v>
      </c>
      <c r="N196" s="13">
        <v>370</v>
      </c>
      <c r="O196" s="15"/>
      <c r="P196" s="6">
        <v>40682.301620370374</v>
      </c>
      <c r="Q196" s="17" t="s">
        <v>846</v>
      </c>
      <c r="R196" s="16" t="s">
        <v>847</v>
      </c>
      <c r="S196" s="12"/>
      <c r="T196" s="12"/>
      <c r="U196" s="10" t="str">
        <f>HYPERLINK("https://pbs.twimg.com/profile_images/817294191055306752/CVQj58Pp.jpg","View")</f>
        <v>View</v>
      </c>
    </row>
    <row r="197" spans="1:21" ht="30.6">
      <c r="A197" s="6">
        <v>43427.035011574073</v>
      </c>
      <c r="B197" s="7" t="str">
        <f>HYPERLINK("https://twitter.com/barrera_roldan","@barrera_roldan")</f>
        <v>@barrera_roldan</v>
      </c>
      <c r="C197" s="8" t="s">
        <v>848</v>
      </c>
      <c r="D197" s="9" t="s">
        <v>45</v>
      </c>
      <c r="E197" s="10" t="str">
        <f>HYPERLINK("https://twitter.com/barrera_roldan/status/1065890299304714240","1065890299304714240")</f>
        <v>1065890299304714240</v>
      </c>
      <c r="F197" s="11" t="s">
        <v>84</v>
      </c>
      <c r="G197" s="12"/>
      <c r="H197" s="12"/>
      <c r="I197" s="13">
        <v>0</v>
      </c>
      <c r="J197" s="13">
        <v>0</v>
      </c>
      <c r="K197" s="14" t="str">
        <f t="shared" si="33"/>
        <v>Twitter Web Client</v>
      </c>
      <c r="L197" s="13">
        <v>123</v>
      </c>
      <c r="M197" s="13">
        <v>122</v>
      </c>
      <c r="N197" s="13">
        <v>1</v>
      </c>
      <c r="O197" s="15"/>
      <c r="P197" s="6">
        <v>42536.151840277773</v>
      </c>
      <c r="Q197" s="12"/>
      <c r="R197" s="18"/>
      <c r="S197" s="12"/>
      <c r="T197" s="12"/>
      <c r="U197" s="10" t="str">
        <f>HYPERLINK("https://pbs.twimg.com/profile_images/914110960813662208/FPw30hXk.jpg","View")</f>
        <v>View</v>
      </c>
    </row>
    <row r="198" spans="1:21" ht="51">
      <c r="A198" s="6">
        <v>43427.033703703702</v>
      </c>
      <c r="B198" s="7" t="str">
        <f>HYPERLINK("https://twitter.com/jdjdjp","@jdjdjp")</f>
        <v>@jdjdjp</v>
      </c>
      <c r="C198" s="8" t="s">
        <v>849</v>
      </c>
      <c r="D198" s="9" t="s">
        <v>850</v>
      </c>
      <c r="E198" s="10" t="str">
        <f>HYPERLINK("https://twitter.com/jdjdjp/status/1065889826359164928","1065889826359164928")</f>
        <v>1065889826359164928</v>
      </c>
      <c r="F198" s="11" t="s">
        <v>84</v>
      </c>
      <c r="G198" s="12"/>
      <c r="H198" s="12"/>
      <c r="I198" s="13">
        <v>0</v>
      </c>
      <c r="J198" s="13">
        <v>0</v>
      </c>
      <c r="K198" s="14" t="str">
        <f t="shared" si="33"/>
        <v>Twitter Web Client</v>
      </c>
      <c r="L198" s="13">
        <v>167</v>
      </c>
      <c r="M198" s="13">
        <v>205</v>
      </c>
      <c r="N198" s="13">
        <v>4</v>
      </c>
      <c r="O198" s="15"/>
      <c r="P198" s="6">
        <v>40986.244409722218</v>
      </c>
      <c r="Q198" s="17" t="s">
        <v>851</v>
      </c>
      <c r="R198" s="16" t="s">
        <v>852</v>
      </c>
      <c r="S198" s="11" t="s">
        <v>853</v>
      </c>
      <c r="T198" s="12"/>
      <c r="U198" s="10" t="str">
        <f>HYPERLINK("https://pbs.twimg.com/profile_images/2227404882/J_DE_JUAN_SOCIAL.JPG","View")</f>
        <v>View</v>
      </c>
    </row>
    <row r="199" spans="1:21" ht="40.799999999999997">
      <c r="A199" s="6">
        <v>43427.033206018517</v>
      </c>
      <c r="B199" s="7" t="str">
        <f>HYPERLINK("https://twitter.com/txetxu1954","@txetxu1954")</f>
        <v>@txetxu1954</v>
      </c>
      <c r="C199" s="8" t="s">
        <v>854</v>
      </c>
      <c r="D199" s="9" t="s">
        <v>855</v>
      </c>
      <c r="E199" s="10" t="str">
        <f>HYPERLINK("https://twitter.com/txetxu1954/status/1065889644452241408","1065889644452241408")</f>
        <v>1065889644452241408</v>
      </c>
      <c r="F199" s="11" t="s">
        <v>856</v>
      </c>
      <c r="G199" s="12"/>
      <c r="H199" s="12"/>
      <c r="I199" s="13">
        <v>0</v>
      </c>
      <c r="J199" s="13">
        <v>0</v>
      </c>
      <c r="K199" s="14" t="str">
        <f>HYPERLINK("http://twitter.com/download/android","Twitter for Android")</f>
        <v>Twitter for Android</v>
      </c>
      <c r="L199" s="13">
        <v>1378</v>
      </c>
      <c r="M199" s="13">
        <v>1445</v>
      </c>
      <c r="N199" s="13">
        <v>73</v>
      </c>
      <c r="O199" s="15"/>
      <c r="P199" s="6">
        <v>40724.133414351854</v>
      </c>
      <c r="Q199" s="17" t="s">
        <v>857</v>
      </c>
      <c r="R199" s="16" t="s">
        <v>858</v>
      </c>
      <c r="S199" s="11" t="s">
        <v>859</v>
      </c>
      <c r="T199" s="12"/>
      <c r="U199" s="10" t="str">
        <f>HYPERLINK("https://pbs.twimg.com/profile_images/968258700917051392/ntPWzh8m.jpg","View")</f>
        <v>View</v>
      </c>
    </row>
    <row r="200" spans="1:21" ht="30.6">
      <c r="A200" s="6">
        <v>43427.031990740739</v>
      </c>
      <c r="B200" s="7" t="str">
        <f>HYPERLINK("https://twitter.com/pepisk","@pepisk")</f>
        <v>@pepisk</v>
      </c>
      <c r="C200" s="8" t="s">
        <v>860</v>
      </c>
      <c r="D200" s="9" t="s">
        <v>45</v>
      </c>
      <c r="E200" s="10" t="str">
        <f>HYPERLINK("https://twitter.com/pepisk/status/1065889205295947776","1065889205295947776")</f>
        <v>1065889205295947776</v>
      </c>
      <c r="F200" s="11" t="s">
        <v>84</v>
      </c>
      <c r="G200" s="12"/>
      <c r="H200" s="12"/>
      <c r="I200" s="13">
        <v>0</v>
      </c>
      <c r="J200" s="13">
        <v>0</v>
      </c>
      <c r="K200" s="14" t="str">
        <f>HYPERLINK("http://twitter.com/#!/download/ipad","Twitter for iPad")</f>
        <v>Twitter for iPad</v>
      </c>
      <c r="L200" s="13">
        <v>166</v>
      </c>
      <c r="M200" s="13">
        <v>547</v>
      </c>
      <c r="N200" s="13">
        <v>3</v>
      </c>
      <c r="O200" s="15"/>
      <c r="P200" s="6">
        <v>40413.15315972222</v>
      </c>
      <c r="Q200" s="12"/>
      <c r="R200" s="18"/>
      <c r="S200" s="12"/>
      <c r="T200" s="12"/>
      <c r="U200" s="10" t="str">
        <f>HYPERLINK("https://pbs.twimg.com/profile_images/473460631366942721/8qVZhn7C.jpeg","View")</f>
        <v>View</v>
      </c>
    </row>
    <row r="201" spans="1:21" ht="20.399999999999999">
      <c r="A201" s="6">
        <v>43427.029317129629</v>
      </c>
      <c r="B201" s="7" t="str">
        <f>HYPERLINK("https://twitter.com/gu_aitor","@gu_aitor")</f>
        <v>@gu_aitor</v>
      </c>
      <c r="C201" s="8" t="s">
        <v>861</v>
      </c>
      <c r="D201" s="9" t="s">
        <v>862</v>
      </c>
      <c r="E201" s="10" t="str">
        <f>HYPERLINK("https://twitter.com/gu_aitor/status/1065888238534053888","1065888238534053888")</f>
        <v>1065888238534053888</v>
      </c>
      <c r="F201" s="12"/>
      <c r="G201" s="11" t="s">
        <v>863</v>
      </c>
      <c r="H201" s="12"/>
      <c r="I201" s="13">
        <v>7</v>
      </c>
      <c r="J201" s="13">
        <v>7</v>
      </c>
      <c r="K201" s="14" t="str">
        <f>HYPERLINK("http://twitter.com/download/iphone","Twitter for iPhone")</f>
        <v>Twitter for iPhone</v>
      </c>
      <c r="L201" s="13">
        <v>2163</v>
      </c>
      <c r="M201" s="13">
        <v>1070</v>
      </c>
      <c r="N201" s="13">
        <v>54</v>
      </c>
      <c r="O201" s="15"/>
      <c r="P201" s="6">
        <v>41809.481493055559</v>
      </c>
      <c r="Q201" s="17" t="s">
        <v>864</v>
      </c>
      <c r="R201" s="16" t="s">
        <v>865</v>
      </c>
      <c r="S201" s="12"/>
      <c r="T201" s="12"/>
      <c r="U201" s="10" t="str">
        <f>HYPERLINK("https://pbs.twimg.com/profile_images/977088614663442434/W4_OkUCU.jpg","View")</f>
        <v>View</v>
      </c>
    </row>
    <row r="202" spans="1:21" ht="40.799999999999997">
      <c r="A202" s="6">
        <v>43427.027395833335</v>
      </c>
      <c r="B202" s="7" t="str">
        <f>HYPERLINK("https://twitter.com/mapriba2111","@mapriba2111")</f>
        <v>@mapriba2111</v>
      </c>
      <c r="C202" s="8" t="s">
        <v>866</v>
      </c>
      <c r="D202" s="9" t="s">
        <v>867</v>
      </c>
      <c r="E202" s="10" t="str">
        <f>HYPERLINK("https://twitter.com/mapriba2111/status/1065887540132093958","1065887540132093958")</f>
        <v>1065887540132093958</v>
      </c>
      <c r="F202" s="12"/>
      <c r="G202" s="12"/>
      <c r="H202" s="12"/>
      <c r="I202" s="13">
        <v>0</v>
      </c>
      <c r="J202" s="13">
        <v>0</v>
      </c>
      <c r="K202" s="14" t="str">
        <f t="shared" ref="K202:K204" si="34">HYPERLINK("http://twitter.com","Twitter Web Client")</f>
        <v>Twitter Web Client</v>
      </c>
      <c r="L202" s="13">
        <v>34</v>
      </c>
      <c r="M202" s="13">
        <v>63</v>
      </c>
      <c r="N202" s="13">
        <v>1</v>
      </c>
      <c r="O202" s="15"/>
      <c r="P202" s="6">
        <v>41676.527488425927</v>
      </c>
      <c r="Q202" s="17" t="s">
        <v>868</v>
      </c>
      <c r="R202" s="16" t="s">
        <v>869</v>
      </c>
      <c r="S202" s="12"/>
      <c r="T202" s="12"/>
      <c r="U202" s="10" t="str">
        <f>HYPERLINK("https://pbs.twimg.com/profile_images/435062330284441600/tkc5zUpe.jpeg","View")</f>
        <v>View</v>
      </c>
    </row>
    <row r="203" spans="1:21" ht="51">
      <c r="A203" s="6">
        <v>43427.021666666667</v>
      </c>
      <c r="B203" s="7" t="str">
        <f>HYPERLINK("https://twitter.com/chuchicharra","@chuchicharra")</f>
        <v>@chuchicharra</v>
      </c>
      <c r="C203" s="8" t="s">
        <v>870</v>
      </c>
      <c r="D203" s="9" t="s">
        <v>871</v>
      </c>
      <c r="E203" s="10" t="str">
        <f>HYPERLINK("https://twitter.com/chuchicharra/status/1065885465709080581","1065885465709080581")</f>
        <v>1065885465709080581</v>
      </c>
      <c r="F203" s="11" t="s">
        <v>673</v>
      </c>
      <c r="G203" s="12"/>
      <c r="H203" s="12"/>
      <c r="I203" s="13">
        <v>1</v>
      </c>
      <c r="J203" s="13">
        <v>1</v>
      </c>
      <c r="K203" s="14" t="str">
        <f t="shared" si="34"/>
        <v>Twitter Web Client</v>
      </c>
      <c r="L203" s="13">
        <v>2965</v>
      </c>
      <c r="M203" s="13">
        <v>2721</v>
      </c>
      <c r="N203" s="13">
        <v>30</v>
      </c>
      <c r="O203" s="15"/>
      <c r="P203" s="6">
        <v>40709.056643518517</v>
      </c>
      <c r="Q203" s="17" t="s">
        <v>872</v>
      </c>
      <c r="R203" s="16" t="s">
        <v>873</v>
      </c>
      <c r="S203" s="12"/>
      <c r="T203" s="12"/>
      <c r="U203" s="10" t="str">
        <f>HYPERLINK("https://pbs.twimg.com/profile_images/1056813208500084736/sDrB-J_a.jpg","View")</f>
        <v>View</v>
      </c>
    </row>
    <row r="204" spans="1:21" ht="30.6">
      <c r="A204" s="6">
        <v>43427.019432870366</v>
      </c>
      <c r="B204" s="7" t="str">
        <f>HYPERLINK("https://twitter.com/isabelsanbe","@isabelsanbe")</f>
        <v>@isabelsanbe</v>
      </c>
      <c r="C204" s="8" t="s">
        <v>874</v>
      </c>
      <c r="D204" s="9" t="s">
        <v>45</v>
      </c>
      <c r="E204" s="10" t="str">
        <f>HYPERLINK("https://twitter.com/isabelsanbe/status/1065884655998722049","1065884655998722049")</f>
        <v>1065884655998722049</v>
      </c>
      <c r="F204" s="11" t="s">
        <v>47</v>
      </c>
      <c r="G204" s="12"/>
      <c r="H204" s="12"/>
      <c r="I204" s="13">
        <v>0</v>
      </c>
      <c r="J204" s="13">
        <v>0</v>
      </c>
      <c r="K204" s="14" t="str">
        <f t="shared" si="34"/>
        <v>Twitter Web Client</v>
      </c>
      <c r="L204" s="13">
        <v>2108</v>
      </c>
      <c r="M204" s="13">
        <v>2054</v>
      </c>
      <c r="N204" s="13">
        <v>30</v>
      </c>
      <c r="O204" s="15"/>
      <c r="P204" s="6">
        <v>40671.332951388889</v>
      </c>
      <c r="Q204" s="17" t="s">
        <v>875</v>
      </c>
      <c r="R204" s="16" t="s">
        <v>876</v>
      </c>
      <c r="S204" s="11" t="s">
        <v>877</v>
      </c>
      <c r="T204" s="12"/>
      <c r="U204" s="10" t="str">
        <f>HYPERLINK("https://pbs.twimg.com/profile_images/1054742486726426624/IAaTtMs1.jpg","View")</f>
        <v>View</v>
      </c>
    </row>
    <row r="205" spans="1:21" ht="40.799999999999997">
      <c r="A205" s="6">
        <v>43427.015555555554</v>
      </c>
      <c r="B205" s="7" t="str">
        <f>HYPERLINK("https://twitter.com/JoanQueralt","@JoanQueralt")</f>
        <v>@JoanQueralt</v>
      </c>
      <c r="C205" s="8" t="s">
        <v>878</v>
      </c>
      <c r="D205" s="9" t="s">
        <v>879</v>
      </c>
      <c r="E205" s="10" t="str">
        <f>HYPERLINK("https://twitter.com/JoanQueralt/status/1065883248016977920","1065883248016977920")</f>
        <v>1065883248016977920</v>
      </c>
      <c r="F205" s="11" t="s">
        <v>84</v>
      </c>
      <c r="G205" s="12"/>
      <c r="H205" s="12"/>
      <c r="I205" s="13">
        <v>64</v>
      </c>
      <c r="J205" s="13">
        <v>65</v>
      </c>
      <c r="K205" s="14" t="str">
        <f>HYPERLINK("http://twitter.com/#!/download/ipad","Twitter for iPad")</f>
        <v>Twitter for iPad</v>
      </c>
      <c r="L205" s="13">
        <v>63207</v>
      </c>
      <c r="M205" s="13">
        <v>491</v>
      </c>
      <c r="N205" s="13">
        <v>555</v>
      </c>
      <c r="O205" s="15"/>
      <c r="P205" s="6">
        <v>39974.05201388889</v>
      </c>
      <c r="Q205" s="17" t="s">
        <v>880</v>
      </c>
      <c r="R205" s="16" t="s">
        <v>881</v>
      </c>
      <c r="S205" s="12"/>
      <c r="T205" s="12"/>
      <c r="U205" s="10" t="str">
        <f>HYPERLINK("https://pbs.twimg.com/profile_images/926176060022063105/eWZPS3oZ.jpg","View")</f>
        <v>View</v>
      </c>
    </row>
    <row r="206" spans="1:21" ht="30.6">
      <c r="A206" s="6">
        <v>43427.013055555552</v>
      </c>
      <c r="B206" s="7" t="str">
        <f>HYPERLINK("https://twitter.com/JesusPellejer","@JesusPellejer")</f>
        <v>@JesusPellejer</v>
      </c>
      <c r="C206" s="8" t="s">
        <v>882</v>
      </c>
      <c r="D206" s="9" t="s">
        <v>45</v>
      </c>
      <c r="E206" s="10" t="str">
        <f>HYPERLINK("https://twitter.com/JesusPellejer/status/1065882344995860480","1065882344995860480")</f>
        <v>1065882344995860480</v>
      </c>
      <c r="F206" s="11" t="s">
        <v>84</v>
      </c>
      <c r="G206" s="12"/>
      <c r="H206" s="12"/>
      <c r="I206" s="13">
        <v>0</v>
      </c>
      <c r="J206" s="13">
        <v>0</v>
      </c>
      <c r="K206" s="14" t="str">
        <f>HYPERLINK("http://twitter.com","Twitter Web Client")</f>
        <v>Twitter Web Client</v>
      </c>
      <c r="L206" s="13">
        <v>271</v>
      </c>
      <c r="M206" s="13">
        <v>645</v>
      </c>
      <c r="N206" s="13">
        <v>1</v>
      </c>
      <c r="O206" s="15"/>
      <c r="P206" s="6">
        <v>42658.174571759257</v>
      </c>
      <c r="Q206" s="12"/>
      <c r="R206" s="18"/>
      <c r="S206" s="12"/>
      <c r="T206" s="12"/>
      <c r="U206" s="10" t="str">
        <f>HYPERLINK("https://pbs.twimg.com/profile_images/940655401229529088/-6umzXFL.jpg","View")</f>
        <v>View</v>
      </c>
    </row>
    <row r="207" spans="1:21" ht="40.799999999999997">
      <c r="A207" s="6">
        <v>43427.012916666667</v>
      </c>
      <c r="B207" s="7" t="str">
        <f>HYPERLINK("https://twitter.com/sketchproduce","@sketchproduce")</f>
        <v>@sketchproduce</v>
      </c>
      <c r="C207" s="8" t="s">
        <v>883</v>
      </c>
      <c r="D207" s="9" t="s">
        <v>884</v>
      </c>
      <c r="E207" s="10" t="str">
        <f>HYPERLINK("https://twitter.com/sketchproduce/status/1065882293246533632","1065882293246533632")</f>
        <v>1065882293246533632</v>
      </c>
      <c r="F207" s="12"/>
      <c r="G207" s="12"/>
      <c r="H207" s="12"/>
      <c r="I207" s="13">
        <v>0</v>
      </c>
      <c r="J207" s="13">
        <v>4</v>
      </c>
      <c r="K207" s="14" t="str">
        <f>HYPERLINK("http://twitter.com/download/android","Twitter for Android")</f>
        <v>Twitter for Android</v>
      </c>
      <c r="L207" s="13">
        <v>14518</v>
      </c>
      <c r="M207" s="13">
        <v>493</v>
      </c>
      <c r="N207" s="13">
        <v>342</v>
      </c>
      <c r="O207" s="15"/>
      <c r="P207" s="6">
        <v>40577.572476851856</v>
      </c>
      <c r="Q207" s="17" t="s">
        <v>885</v>
      </c>
      <c r="R207" s="16" t="s">
        <v>886</v>
      </c>
      <c r="S207" s="11" t="s">
        <v>887</v>
      </c>
      <c r="T207" s="12"/>
      <c r="U207" s="10" t="str">
        <f>HYPERLINK("https://pbs.twimg.com/profile_images/1061431730496831494/ygkQOep9.jpg","View")</f>
        <v>View</v>
      </c>
    </row>
    <row r="208" spans="1:21" ht="30.6">
      <c r="A208" s="6">
        <v>43427.012638888889</v>
      </c>
      <c r="B208" s="7" t="str">
        <f>HYPERLINK("https://twitter.com/JuanMa_____","@JuanMa_____")</f>
        <v>@JuanMa_____</v>
      </c>
      <c r="C208" s="8" t="s">
        <v>888</v>
      </c>
      <c r="D208" s="9" t="s">
        <v>116</v>
      </c>
      <c r="E208" s="10" t="str">
        <f>HYPERLINK("https://twitter.com/JuanMa_____/status/1065882193187213313","1065882193187213313")</f>
        <v>1065882193187213313</v>
      </c>
      <c r="F208" s="11" t="s">
        <v>361</v>
      </c>
      <c r="G208" s="11" t="s">
        <v>889</v>
      </c>
      <c r="H208" s="12"/>
      <c r="I208" s="13">
        <v>0</v>
      </c>
      <c r="J208" s="13">
        <v>0</v>
      </c>
      <c r="K208" s="14" t="str">
        <f>HYPERLINK("http://www.crowdfireapp.com","Crowdfire - Go Big")</f>
        <v>Crowdfire - Go Big</v>
      </c>
      <c r="L208" s="13">
        <v>907</v>
      </c>
      <c r="M208" s="13">
        <v>921</v>
      </c>
      <c r="N208" s="13">
        <v>14</v>
      </c>
      <c r="O208" s="15"/>
      <c r="P208" s="6">
        <v>41874.668287037035</v>
      </c>
      <c r="Q208" s="12"/>
      <c r="R208" s="16" t="s">
        <v>890</v>
      </c>
      <c r="S208" s="12"/>
      <c r="T208" s="12"/>
      <c r="U208" s="10" t="str">
        <f>HYPERLINK("https://pbs.twimg.com/profile_images/949494337070620672/CMG3VApy.jpg","View")</f>
        <v>View</v>
      </c>
    </row>
    <row r="209" spans="1:21" ht="30.6">
      <c r="A209" s="6">
        <v>43427.011701388888</v>
      </c>
      <c r="B209" s="7" t="str">
        <f>HYPERLINK("https://twitter.com/ninocruz","@ninocruz")</f>
        <v>@ninocruz</v>
      </c>
      <c r="C209" s="8" t="s">
        <v>891</v>
      </c>
      <c r="D209" s="9" t="s">
        <v>45</v>
      </c>
      <c r="E209" s="10" t="str">
        <f>HYPERLINK("https://twitter.com/ninocruz/status/1065881853385736192","1065881853385736192")</f>
        <v>1065881853385736192</v>
      </c>
      <c r="F209" s="11" t="s">
        <v>47</v>
      </c>
      <c r="G209" s="12"/>
      <c r="H209" s="12"/>
      <c r="I209" s="13">
        <v>0</v>
      </c>
      <c r="J209" s="13">
        <v>0</v>
      </c>
      <c r="K209" s="14" t="str">
        <f>HYPERLINK("http://twitter.com/download/android","Twitter for Android")</f>
        <v>Twitter for Android</v>
      </c>
      <c r="L209" s="13">
        <v>71</v>
      </c>
      <c r="M209" s="13">
        <v>153</v>
      </c>
      <c r="N209" s="13">
        <v>4</v>
      </c>
      <c r="O209" s="15"/>
      <c r="P209" s="6">
        <v>39701.364861111113</v>
      </c>
      <c r="Q209" s="12"/>
      <c r="R209" s="16" t="s">
        <v>892</v>
      </c>
      <c r="S209" s="11" t="s">
        <v>893</v>
      </c>
      <c r="T209" s="12"/>
      <c r="U209" s="10" t="str">
        <f>HYPERLINK("https://pbs.twimg.com/profile_images/971796542062497800/Zbk5U7TY.jpg","View")</f>
        <v>View</v>
      </c>
    </row>
    <row r="210" spans="1:21" ht="20.399999999999999">
      <c r="A210" s="6">
        <v>43427.010914351849</v>
      </c>
      <c r="B210" s="7" t="str">
        <f>HYPERLINK("https://twitter.com/ALMERIA_HOY","@ALMERIA_HOY")</f>
        <v>@ALMERIA_HOY</v>
      </c>
      <c r="C210" s="8" t="s">
        <v>894</v>
      </c>
      <c r="D210" s="9" t="s">
        <v>895</v>
      </c>
      <c r="E210" s="10" t="str">
        <f>HYPERLINK("https://twitter.com/ALMERIA_HOY/status/1065881567468367873","1065881567468367873")</f>
        <v>1065881567468367873</v>
      </c>
      <c r="F210" s="11" t="s">
        <v>896</v>
      </c>
      <c r="G210" s="12"/>
      <c r="H210" s="12"/>
      <c r="I210" s="13">
        <v>0</v>
      </c>
      <c r="J210" s="13">
        <v>0</v>
      </c>
      <c r="K210" s="14" t="str">
        <f>HYPERLINK("https://ifttt.com","IFTTT")</f>
        <v>IFTTT</v>
      </c>
      <c r="L210" s="13">
        <v>1555</v>
      </c>
      <c r="M210" s="13">
        <v>597</v>
      </c>
      <c r="N210" s="13">
        <v>19</v>
      </c>
      <c r="O210" s="15"/>
      <c r="P210" s="6">
        <v>41878.762256944443</v>
      </c>
      <c r="Q210" s="17" t="s">
        <v>77</v>
      </c>
      <c r="R210" s="16" t="s">
        <v>897</v>
      </c>
      <c r="S210" s="11" t="s">
        <v>898</v>
      </c>
      <c r="T210" s="12"/>
      <c r="U210" s="10" t="str">
        <f>HYPERLINK("https://pbs.twimg.com/profile_images/660638311820709890/ovBktZwB.jpg","View")</f>
        <v>View</v>
      </c>
    </row>
    <row r="211" spans="1:21" ht="30.6">
      <c r="A211" s="6">
        <v>43427.008692129632</v>
      </c>
      <c r="B211" s="7" t="str">
        <f>HYPERLINK("https://twitter.com/fcantero","@fcantero")</f>
        <v>@fcantero</v>
      </c>
      <c r="C211" s="8" t="s">
        <v>899</v>
      </c>
      <c r="D211" s="9" t="s">
        <v>45</v>
      </c>
      <c r="E211" s="10" t="str">
        <f>HYPERLINK("https://twitter.com/fcantero/status/1065880760656306176","1065880760656306176")</f>
        <v>1065880760656306176</v>
      </c>
      <c r="F211" s="11" t="s">
        <v>84</v>
      </c>
      <c r="G211" s="12"/>
      <c r="H211" s="12"/>
      <c r="I211" s="13">
        <v>0</v>
      </c>
      <c r="J211" s="13">
        <v>0</v>
      </c>
      <c r="K211" s="14" t="str">
        <f>HYPERLINK("http://twitter.com","Twitter Web Client")</f>
        <v>Twitter Web Client</v>
      </c>
      <c r="L211" s="13">
        <v>8554</v>
      </c>
      <c r="M211" s="13">
        <v>8370</v>
      </c>
      <c r="N211" s="13">
        <v>99</v>
      </c>
      <c r="O211" s="15"/>
      <c r="P211" s="6">
        <v>39796.358831018515</v>
      </c>
      <c r="Q211" s="17" t="s">
        <v>902</v>
      </c>
      <c r="R211" s="16" t="s">
        <v>903</v>
      </c>
      <c r="S211" s="12"/>
      <c r="T211" s="12"/>
      <c r="U211" s="10" t="str">
        <f>HYPERLINK("https://pbs.twimg.com/profile_images/720734608359309312/GSI4y0kg.jpg","View")</f>
        <v>View</v>
      </c>
    </row>
    <row r="212" spans="1:21" ht="40.799999999999997">
      <c r="A212" s="6">
        <v>43427.006909722222</v>
      </c>
      <c r="B212" s="7" t="str">
        <f>HYPERLINK("https://twitter.com/pasionxespana","@pasionxespana")</f>
        <v>@pasionxespana</v>
      </c>
      <c r="C212" s="8" t="s">
        <v>906</v>
      </c>
      <c r="D212" s="9" t="s">
        <v>907</v>
      </c>
      <c r="E212" s="10" t="str">
        <f>HYPERLINK("https://twitter.com/pasionxespana/status/1065880115010252800","1065880115010252800")</f>
        <v>1065880115010252800</v>
      </c>
      <c r="F212" s="11" t="s">
        <v>908</v>
      </c>
      <c r="G212" s="11" t="s">
        <v>909</v>
      </c>
      <c r="H212" s="12"/>
      <c r="I212" s="13">
        <v>0</v>
      </c>
      <c r="J212" s="13">
        <v>0</v>
      </c>
      <c r="K212" s="14" t="str">
        <f>HYPERLINK("https://ifttt.com","IFTTT")</f>
        <v>IFTTT</v>
      </c>
      <c r="L212" s="13">
        <v>1826</v>
      </c>
      <c r="M212" s="13">
        <v>3028</v>
      </c>
      <c r="N212" s="13">
        <v>40</v>
      </c>
      <c r="O212" s="15"/>
      <c r="P212" s="6">
        <v>42607.254606481481</v>
      </c>
      <c r="Q212" s="12"/>
      <c r="R212" s="16" t="s">
        <v>911</v>
      </c>
      <c r="S212" s="11" t="s">
        <v>912</v>
      </c>
      <c r="T212" s="12"/>
      <c r="U212" s="10" t="str">
        <f>HYPERLINK("https://pbs.twimg.com/profile_images/903227976258551808/C6YEfbP_.jpg","View")</f>
        <v>View</v>
      </c>
    </row>
    <row r="213" spans="1:21" ht="30.6">
      <c r="A213" s="6">
        <v>43427.004942129628</v>
      </c>
      <c r="B213" s="7" t="str">
        <f>HYPERLINK("https://twitter.com/ponziopilates","@ponziopilates")</f>
        <v>@ponziopilates</v>
      </c>
      <c r="C213" s="8" t="s">
        <v>913</v>
      </c>
      <c r="D213" s="9" t="s">
        <v>189</v>
      </c>
      <c r="E213" s="10" t="str">
        <f>HYPERLINK("https://twitter.com/ponziopilates/status/1065879401575972864","1065879401575972864")</f>
        <v>1065879401575972864</v>
      </c>
      <c r="F213" s="11" t="s">
        <v>190</v>
      </c>
      <c r="G213" s="12"/>
      <c r="H213" s="12"/>
      <c r="I213" s="13">
        <v>1</v>
      </c>
      <c r="J213" s="13">
        <v>0</v>
      </c>
      <c r="K213" s="14" t="str">
        <f>HYPERLINK("http://twitter.com/download/android","Twitter for Android")</f>
        <v>Twitter for Android</v>
      </c>
      <c r="L213" s="13">
        <v>784</v>
      </c>
      <c r="M213" s="13">
        <v>885</v>
      </c>
      <c r="N213" s="13">
        <v>4</v>
      </c>
      <c r="O213" s="15"/>
      <c r="P213" s="6">
        <v>41673.163969907408</v>
      </c>
      <c r="Q213" s="12"/>
      <c r="R213" s="16" t="s">
        <v>914</v>
      </c>
      <c r="S213" s="12"/>
      <c r="T213" s="12"/>
      <c r="U213" s="10" t="str">
        <f>HYPERLINK("https://pbs.twimg.com/profile_images/450562018484183040/t5c8hQvR.jpeg","View")</f>
        <v>View</v>
      </c>
    </row>
    <row r="214" spans="1:21" ht="30.6">
      <c r="A214" s="6">
        <v>43427.004467592589</v>
      </c>
      <c r="B214" s="7" t="str">
        <f>HYPERLINK("https://twitter.com/pablo_casado","@pablo_casado")</f>
        <v>@pablo_casado</v>
      </c>
      <c r="C214" s="8" t="s">
        <v>353</v>
      </c>
      <c r="D214" s="9" t="s">
        <v>915</v>
      </c>
      <c r="E214" s="10" t="str">
        <f>HYPERLINK("https://twitter.com/pablo_casado/status/1065879232176422912","1065879232176422912")</f>
        <v>1065879232176422912</v>
      </c>
      <c r="F214" s="11" t="s">
        <v>916</v>
      </c>
      <c r="G214" s="12"/>
      <c r="H214" s="12"/>
      <c r="I214" s="13">
        <v>2</v>
      </c>
      <c r="J214" s="13">
        <v>2</v>
      </c>
      <c r="K214" s="14" t="str">
        <f>HYPERLINK("http://twitter.com","Twitter Web Client")</f>
        <v>Twitter Web Client</v>
      </c>
      <c r="L214" s="13">
        <v>798</v>
      </c>
      <c r="M214" s="13">
        <v>1165</v>
      </c>
      <c r="N214" s="13">
        <v>16</v>
      </c>
      <c r="O214" s="15"/>
      <c r="P214" s="6">
        <v>40631.269189814819</v>
      </c>
      <c r="Q214" s="17" t="s">
        <v>356</v>
      </c>
      <c r="R214" s="16" t="s">
        <v>357</v>
      </c>
      <c r="S214" s="11" t="s">
        <v>358</v>
      </c>
      <c r="T214" s="12"/>
      <c r="U214" s="10" t="str">
        <f>HYPERLINK("https://pbs.twimg.com/profile_images/960372546393837569/o7y23nco.jpg","View")</f>
        <v>View</v>
      </c>
    </row>
    <row r="215" spans="1:21" ht="30.6">
      <c r="A215" s="6">
        <v>43427.003402777773</v>
      </c>
      <c r="B215" s="7" t="str">
        <f>HYPERLINK("https://twitter.com/rss_noticias","@rss_noticias")</f>
        <v>@rss_noticias</v>
      </c>
      <c r="C215" s="8" t="s">
        <v>917</v>
      </c>
      <c r="D215" s="9" t="s">
        <v>918</v>
      </c>
      <c r="E215" s="10" t="str">
        <f>HYPERLINK("https://twitter.com/rss_noticias/status/1065878844232687616","1065878844232687616")</f>
        <v>1065878844232687616</v>
      </c>
      <c r="F215" s="11" t="s">
        <v>919</v>
      </c>
      <c r="G215" s="12"/>
      <c r="H215" s="12"/>
      <c r="I215" s="13">
        <v>0</v>
      </c>
      <c r="J215" s="13">
        <v>0</v>
      </c>
      <c r="K215" s="14" t="str">
        <f>HYPERLINK("https://ifttt.com","IFTTT")</f>
        <v>IFTTT</v>
      </c>
      <c r="L215" s="13">
        <v>129</v>
      </c>
      <c r="M215" s="13">
        <v>1</v>
      </c>
      <c r="N215" s="13">
        <v>2</v>
      </c>
      <c r="O215" s="15"/>
      <c r="P215" s="6">
        <v>43425.541296296295</v>
      </c>
      <c r="Q215" s="17" t="s">
        <v>920</v>
      </c>
      <c r="R215" s="16" t="s">
        <v>921</v>
      </c>
      <c r="S215" s="12"/>
      <c r="T215" s="12"/>
      <c r="U215" s="10" t="str">
        <f>HYPERLINK("https://pbs.twimg.com/profile_images/1065358148377153542/OtJ5HtwI.jpg","View")</f>
        <v>View</v>
      </c>
    </row>
    <row r="216" spans="1:21" ht="30.6">
      <c r="A216" s="6">
        <v>43427.001111111109</v>
      </c>
      <c r="B216" s="7" t="str">
        <f>HYPERLINK("https://twitter.com/jchecafortes","@jchecafortes")</f>
        <v>@jchecafortes</v>
      </c>
      <c r="C216" s="8" t="s">
        <v>922</v>
      </c>
      <c r="D216" s="9" t="s">
        <v>45</v>
      </c>
      <c r="E216" s="10" t="str">
        <f>HYPERLINK("https://twitter.com/jchecafortes/status/1065878013315821568","1065878013315821568")</f>
        <v>1065878013315821568</v>
      </c>
      <c r="F216" s="11" t="s">
        <v>47</v>
      </c>
      <c r="G216" s="12"/>
      <c r="H216" s="12"/>
      <c r="I216" s="13">
        <v>0</v>
      </c>
      <c r="J216" s="13">
        <v>0</v>
      </c>
      <c r="K216" s="14" t="str">
        <f>HYPERLINK("http://twitter.com/download/iphone","Twitter for iPhone")</f>
        <v>Twitter for iPhone</v>
      </c>
      <c r="L216" s="13">
        <v>468</v>
      </c>
      <c r="M216" s="13">
        <v>446</v>
      </c>
      <c r="N216" s="13">
        <v>12</v>
      </c>
      <c r="O216" s="15"/>
      <c r="P216" s="6">
        <v>40850.364293981482</v>
      </c>
      <c r="Q216" s="17" t="s">
        <v>29</v>
      </c>
      <c r="R216" s="16" t="s">
        <v>923</v>
      </c>
      <c r="S216" s="11" t="s">
        <v>693</v>
      </c>
      <c r="T216" s="12"/>
      <c r="U216" s="10" t="str">
        <f>HYPERLINK("https://pbs.twimg.com/profile_images/2615522467/image.jpg","View")</f>
        <v>View</v>
      </c>
    </row>
    <row r="217" spans="1:21" ht="30.6">
      <c r="A217" s="6">
        <v>43426.997175925921</v>
      </c>
      <c r="B217" s="7" t="str">
        <f>HYPERLINK("https://twitter.com/hopedsy","@hopedsy")</f>
        <v>@hopedsy</v>
      </c>
      <c r="C217" s="8" t="s">
        <v>924</v>
      </c>
      <c r="D217" s="9" t="s">
        <v>266</v>
      </c>
      <c r="E217" s="10" t="str">
        <f>HYPERLINK("https://twitter.com/hopedsy/status/1065876586967248896","1065876586967248896")</f>
        <v>1065876586967248896</v>
      </c>
      <c r="F217" s="11" t="s">
        <v>292</v>
      </c>
      <c r="G217" s="12"/>
      <c r="H217" s="12"/>
      <c r="I217" s="13">
        <v>0</v>
      </c>
      <c r="J217" s="13">
        <v>0</v>
      </c>
      <c r="K217" s="14" t="str">
        <f t="shared" ref="K217:K220" si="35">HYPERLINK("http://twitter.com/download/android","Twitter for Android")</f>
        <v>Twitter for Android</v>
      </c>
      <c r="L217" s="13">
        <v>405</v>
      </c>
      <c r="M217" s="13">
        <v>566</v>
      </c>
      <c r="N217" s="13">
        <v>15</v>
      </c>
      <c r="O217" s="15"/>
      <c r="P217" s="6">
        <v>42568.12672453704</v>
      </c>
      <c r="Q217" s="12"/>
      <c r="R217" s="16" t="s">
        <v>927</v>
      </c>
      <c r="S217" s="12"/>
      <c r="T217" s="12"/>
      <c r="U217" s="10" t="str">
        <f>HYPERLINK("https://pbs.twimg.com/profile_images/814237291229147136/bJPBbvoq.jpg","View")</f>
        <v>View</v>
      </c>
    </row>
    <row r="218" spans="1:21" ht="40.799999999999997">
      <c r="A218" s="6">
        <v>43426.99695601852</v>
      </c>
      <c r="B218" s="7" t="str">
        <f>HYPERLINK("https://twitter.com/manoloperezd","@manoloperezd")</f>
        <v>@manoloperezd</v>
      </c>
      <c r="C218" s="8" t="s">
        <v>931</v>
      </c>
      <c r="D218" s="9" t="s">
        <v>45</v>
      </c>
      <c r="E218" s="10" t="str">
        <f>HYPERLINK("https://twitter.com/manoloperezd/status/1065876507233591296","1065876507233591296")</f>
        <v>1065876507233591296</v>
      </c>
      <c r="F218" s="11" t="s">
        <v>47</v>
      </c>
      <c r="G218" s="12"/>
      <c r="H218" s="12"/>
      <c r="I218" s="13">
        <v>0</v>
      </c>
      <c r="J218" s="13">
        <v>0</v>
      </c>
      <c r="K218" s="14" t="str">
        <f t="shared" si="35"/>
        <v>Twitter for Android</v>
      </c>
      <c r="L218" s="13">
        <v>500</v>
      </c>
      <c r="M218" s="13">
        <v>707</v>
      </c>
      <c r="N218" s="13">
        <v>13</v>
      </c>
      <c r="O218" s="15"/>
      <c r="P218" s="6">
        <v>41042.640856481477</v>
      </c>
      <c r="Q218" s="17" t="s">
        <v>932</v>
      </c>
      <c r="R218" s="16" t="s">
        <v>933</v>
      </c>
      <c r="S218" s="12"/>
      <c r="T218" s="12"/>
      <c r="U218" s="10" t="str">
        <f>HYPERLINK("https://pbs.twimg.com/profile_images/993200719724457984/SjjMis7i.jpg","View")</f>
        <v>View</v>
      </c>
    </row>
    <row r="219" spans="1:21" ht="30.6">
      <c r="A219" s="6">
        <v>43426.99554398148</v>
      </c>
      <c r="B219" s="7" t="str">
        <f>HYPERLINK("https://twitter.com/MercdelaFuente","@MercdelaFuente")</f>
        <v>@MercdelaFuente</v>
      </c>
      <c r="C219" s="8" t="s">
        <v>934</v>
      </c>
      <c r="D219" s="9" t="s">
        <v>935</v>
      </c>
      <c r="E219" s="10" t="str">
        <f>HYPERLINK("https://twitter.com/MercdelaFuente/status/1065875995788537856","1065875995788537856")</f>
        <v>1065875995788537856</v>
      </c>
      <c r="F219" s="12"/>
      <c r="G219" s="12"/>
      <c r="H219" s="12"/>
      <c r="I219" s="13">
        <v>0</v>
      </c>
      <c r="J219" s="13">
        <v>4</v>
      </c>
      <c r="K219" s="14" t="str">
        <f t="shared" si="35"/>
        <v>Twitter for Android</v>
      </c>
      <c r="L219" s="13">
        <v>1311</v>
      </c>
      <c r="M219" s="13">
        <v>1570</v>
      </c>
      <c r="N219" s="13">
        <v>42</v>
      </c>
      <c r="O219" s="15"/>
      <c r="P219" s="6">
        <v>40659.299502314811</v>
      </c>
      <c r="Q219" s="17" t="s">
        <v>936</v>
      </c>
      <c r="R219" s="16" t="s">
        <v>937</v>
      </c>
      <c r="S219" s="11" t="s">
        <v>938</v>
      </c>
      <c r="T219" s="12"/>
      <c r="U219" s="10" t="str">
        <f>HYPERLINK("https://pbs.twimg.com/profile_images/501806536776491008/ppcvAnr7.jpeg","View")</f>
        <v>View</v>
      </c>
    </row>
    <row r="220" spans="1:21" ht="40.799999999999997">
      <c r="A220" s="6">
        <v>43426.994652777779</v>
      </c>
      <c r="B220" s="7" t="str">
        <f>HYPERLINK("https://twitter.com/mhortet","@mhortet")</f>
        <v>@mhortet</v>
      </c>
      <c r="C220" s="8" t="s">
        <v>900</v>
      </c>
      <c r="D220" s="9" t="s">
        <v>939</v>
      </c>
      <c r="E220" s="10" t="str">
        <f>HYPERLINK("https://twitter.com/mhortet/status/1065875675431792642","1065875675431792642")</f>
        <v>1065875675431792642</v>
      </c>
      <c r="F220" s="12"/>
      <c r="G220" s="11" t="s">
        <v>940</v>
      </c>
      <c r="H220" s="12"/>
      <c r="I220" s="13">
        <v>31</v>
      </c>
      <c r="J220" s="13">
        <v>19</v>
      </c>
      <c r="K220" s="14" t="str">
        <f t="shared" si="35"/>
        <v>Twitter for Android</v>
      </c>
      <c r="L220" s="13">
        <v>465</v>
      </c>
      <c r="M220" s="13">
        <v>673</v>
      </c>
      <c r="N220" s="13">
        <v>1</v>
      </c>
      <c r="O220" s="15"/>
      <c r="P220" s="6">
        <v>40321.291319444441</v>
      </c>
      <c r="Q220" s="17" t="s">
        <v>904</v>
      </c>
      <c r="R220" s="18"/>
      <c r="S220" s="11" t="s">
        <v>905</v>
      </c>
      <c r="T220" s="12"/>
      <c r="U220" s="10" t="str">
        <f>HYPERLINK("https://pbs.twimg.com/profile_images/1014949928454549504/-z1u2Xri.jpg","View")</f>
        <v>View</v>
      </c>
    </row>
    <row r="221" spans="1:21" ht="30.6">
      <c r="A221" s="6">
        <v>43426.993229166663</v>
      </c>
      <c r="B221" s="7" t="str">
        <f>HYPERLINK("https://twitter.com/iescolar","@iescolar")</f>
        <v>@iescolar</v>
      </c>
      <c r="C221" s="8" t="s">
        <v>942</v>
      </c>
      <c r="D221" s="9" t="s">
        <v>943</v>
      </c>
      <c r="E221" s="10" t="str">
        <f>HYPERLINK("https://twitter.com/iescolar/status/1065875158861324288","1065875158861324288")</f>
        <v>1065875158861324288</v>
      </c>
      <c r="F221" s="11" t="s">
        <v>47</v>
      </c>
      <c r="G221" s="12"/>
      <c r="H221" s="12"/>
      <c r="I221" s="13">
        <v>205</v>
      </c>
      <c r="J221" s="13">
        <v>213</v>
      </c>
      <c r="K221" s="14" t="str">
        <f>HYPERLINK("http://twitter.com/download/iphone","Twitter for iPhone")</f>
        <v>Twitter for iPhone</v>
      </c>
      <c r="L221" s="13">
        <v>903275</v>
      </c>
      <c r="M221" s="13">
        <v>5425</v>
      </c>
      <c r="N221" s="13">
        <v>11976</v>
      </c>
      <c r="O221" s="19" t="s">
        <v>74</v>
      </c>
      <c r="P221" s="6">
        <v>39556.500960648147</v>
      </c>
      <c r="Q221" s="17" t="s">
        <v>944</v>
      </c>
      <c r="R221" s="16" t="s">
        <v>945</v>
      </c>
      <c r="S221" s="11" t="s">
        <v>693</v>
      </c>
      <c r="T221" s="12"/>
      <c r="U221" s="10" t="str">
        <f>HYPERLINK("https://pbs.twimg.com/profile_images/970684993231097856/30L3bCoG.jpg","View")</f>
        <v>View</v>
      </c>
    </row>
    <row r="222" spans="1:21" ht="30.6">
      <c r="A222" s="6">
        <v>43426.993055555555</v>
      </c>
      <c r="B222" s="7" t="str">
        <f>HYPERLINK("https://twitter.com/eldiarioes","@eldiarioes")</f>
        <v>@eldiarioes</v>
      </c>
      <c r="C222" s="20" t="s">
        <v>687</v>
      </c>
      <c r="D222" s="9" t="s">
        <v>946</v>
      </c>
      <c r="E222" s="10" t="str">
        <f>HYPERLINK("https://twitter.com/eldiarioes/status/1065875094927331328","1065875094927331328")</f>
        <v>1065875094927331328</v>
      </c>
      <c r="F222" s="11" t="s">
        <v>42</v>
      </c>
      <c r="G222" s="11" t="s">
        <v>947</v>
      </c>
      <c r="H222" s="12"/>
      <c r="I222" s="13">
        <v>80</v>
      </c>
      <c r="J222" s="13">
        <v>83</v>
      </c>
      <c r="K222" s="14" t="str">
        <f>HYPERLINK("https://about.twitter.com/products/tweetdeck","TweetDeck")</f>
        <v>TweetDeck</v>
      </c>
      <c r="L222" s="13">
        <v>936615</v>
      </c>
      <c r="M222" s="13">
        <v>456</v>
      </c>
      <c r="N222" s="13">
        <v>11235</v>
      </c>
      <c r="O222" s="19" t="s">
        <v>74</v>
      </c>
      <c r="P222" s="6">
        <v>40992.505856481483</v>
      </c>
      <c r="Q222" s="12"/>
      <c r="R222" s="16" t="s">
        <v>692</v>
      </c>
      <c r="S222" s="11" t="s">
        <v>693</v>
      </c>
      <c r="T222" s="12"/>
      <c r="U222" s="10" t="str">
        <f>HYPERLINK("https://pbs.twimg.com/profile_images/1016600645292511232/eYIkIK2s.jpg","View")</f>
        <v>View</v>
      </c>
    </row>
    <row r="223" spans="1:21" ht="40.799999999999997">
      <c r="A223" s="6">
        <v>43426.992488425924</v>
      </c>
      <c r="B223" s="7" t="str">
        <f>HYPERLINK("https://twitter.com/RAFAELLEALSALAZ","@RAFAELLEALSALAZ")</f>
        <v>@RAFAELLEALSALAZ</v>
      </c>
      <c r="C223" s="8" t="s">
        <v>950</v>
      </c>
      <c r="D223" s="9" t="s">
        <v>951</v>
      </c>
      <c r="E223" s="10" t="str">
        <f>HYPERLINK("https://twitter.com/RAFAELLEALSALAZ/status/1065874890492923905","1065874890492923905")</f>
        <v>1065874890492923905</v>
      </c>
      <c r="F223" s="12"/>
      <c r="G223" s="11" t="s">
        <v>952</v>
      </c>
      <c r="H223" s="12"/>
      <c r="I223" s="13">
        <v>11</v>
      </c>
      <c r="J223" s="13">
        <v>9</v>
      </c>
      <c r="K223" s="14" t="str">
        <f>HYPERLINK("http://twitter.com/download/iphone","Twitter for iPhone")</f>
        <v>Twitter for iPhone</v>
      </c>
      <c r="L223" s="13">
        <v>4333</v>
      </c>
      <c r="M223" s="13">
        <v>3808</v>
      </c>
      <c r="N223" s="13">
        <v>105</v>
      </c>
      <c r="O223" s="15"/>
      <c r="P223" s="6">
        <v>41378.077534722222</v>
      </c>
      <c r="Q223" s="12"/>
      <c r="R223" s="18"/>
      <c r="S223" s="12"/>
      <c r="T223" s="12"/>
      <c r="U223" s="10" t="str">
        <f>HYPERLINK("https://pbs.twimg.com/profile_images/869423836877422592/Ed1HUthz.jpg","View")</f>
        <v>View</v>
      </c>
    </row>
    <row r="224" spans="1:21" ht="20.399999999999999">
      <c r="A224" s="6">
        <v>43426.990914351853</v>
      </c>
      <c r="B224" s="7" t="str">
        <f>HYPERLINK("https://twitter.com/algeroz27","@algeroz27")</f>
        <v>@algeroz27</v>
      </c>
      <c r="C224" s="8" t="s">
        <v>954</v>
      </c>
      <c r="D224" s="9" t="s">
        <v>697</v>
      </c>
      <c r="E224" s="10" t="str">
        <f>HYPERLINK("https://twitter.com/algeroz27/status/1065874321921458176","1065874321921458176")</f>
        <v>1065874321921458176</v>
      </c>
      <c r="F224" s="11" t="s">
        <v>955</v>
      </c>
      <c r="G224" s="12"/>
      <c r="H224" s="12"/>
      <c r="I224" s="13">
        <v>0</v>
      </c>
      <c r="J224" s="13">
        <v>0</v>
      </c>
      <c r="K224" s="14" t="str">
        <f>HYPERLINK("http://www.facebook.com/twitter","Facebook")</f>
        <v>Facebook</v>
      </c>
      <c r="L224" s="13">
        <v>399</v>
      </c>
      <c r="M224" s="13">
        <v>893</v>
      </c>
      <c r="N224" s="13">
        <v>7</v>
      </c>
      <c r="O224" s="15"/>
      <c r="P224" s="6">
        <v>40712.499652777777</v>
      </c>
      <c r="Q224" s="12"/>
      <c r="R224" s="16" t="s">
        <v>956</v>
      </c>
      <c r="S224" s="11" t="s">
        <v>957</v>
      </c>
      <c r="T224" s="12"/>
      <c r="U224" s="10" t="str">
        <f>HYPERLINK("https://pbs.twimg.com/profile_images/1566805149/paratwit.JPG","View")</f>
        <v>View</v>
      </c>
    </row>
    <row r="225" spans="1:21" ht="51">
      <c r="A225" s="6">
        <v>43426.989988425921</v>
      </c>
      <c r="B225" s="7" t="str">
        <f>HYPERLINK("https://twitter.com/Simbaad387","@Simbaad387")</f>
        <v>@Simbaad387</v>
      </c>
      <c r="C225" s="8" t="s">
        <v>960</v>
      </c>
      <c r="D225" s="9" t="s">
        <v>961</v>
      </c>
      <c r="E225" s="10" t="str">
        <f>HYPERLINK("https://twitter.com/Simbaad387/status/1065873982799396864","1065873982799396864")</f>
        <v>1065873982799396864</v>
      </c>
      <c r="F225" s="11" t="s">
        <v>962</v>
      </c>
      <c r="G225" s="12"/>
      <c r="H225" s="12"/>
      <c r="I225" s="13">
        <v>0</v>
      </c>
      <c r="J225" s="13">
        <v>0</v>
      </c>
      <c r="K225" s="14" t="str">
        <f>HYPERLINK("http://twitter.com/#!/download/ipad","Twitter for iPad")</f>
        <v>Twitter for iPad</v>
      </c>
      <c r="L225" s="13">
        <v>29</v>
      </c>
      <c r="M225" s="13">
        <v>87</v>
      </c>
      <c r="N225" s="13">
        <v>0</v>
      </c>
      <c r="O225" s="15"/>
      <c r="P225" s="6">
        <v>43335.788206018522</v>
      </c>
      <c r="Q225" s="12"/>
      <c r="R225" s="16" t="s">
        <v>963</v>
      </c>
      <c r="S225" s="12"/>
      <c r="T225" s="12"/>
      <c r="U225" s="10" t="str">
        <f>HYPERLINK("https://pbs.twimg.com/profile_images/1032893294232125440/xGVzpt0C.jpg","View")</f>
        <v>View</v>
      </c>
    </row>
    <row r="226" spans="1:21" ht="51">
      <c r="A226" s="6">
        <v>43426.989351851851</v>
      </c>
      <c r="B226" s="7" t="str">
        <f>HYPERLINK("https://twitter.com/josguema","@josguema")</f>
        <v>@josguema</v>
      </c>
      <c r="C226" s="8" t="s">
        <v>964</v>
      </c>
      <c r="D226" s="9" t="s">
        <v>965</v>
      </c>
      <c r="E226" s="10" t="str">
        <f>HYPERLINK("https://twitter.com/josguema/status/1065873754981568512","1065873754981568512")</f>
        <v>1065873754981568512</v>
      </c>
      <c r="F226" s="12"/>
      <c r="G226" s="11" t="s">
        <v>578</v>
      </c>
      <c r="H226" s="12"/>
      <c r="I226" s="13">
        <v>22</v>
      </c>
      <c r="J226" s="13">
        <v>19</v>
      </c>
      <c r="K226" s="14" t="str">
        <f>HYPERLINK("http://twitter.com/download/iphone","Twitter for iPhone")</f>
        <v>Twitter for iPhone</v>
      </c>
      <c r="L226" s="13">
        <v>4069</v>
      </c>
      <c r="M226" s="13">
        <v>2810</v>
      </c>
      <c r="N226" s="13">
        <v>20</v>
      </c>
      <c r="O226" s="15"/>
      <c r="P226" s="6">
        <v>39902.430127314816</v>
      </c>
      <c r="Q226" s="17" t="s">
        <v>968</v>
      </c>
      <c r="R226" s="16" t="s">
        <v>969</v>
      </c>
      <c r="S226" s="12"/>
      <c r="T226" s="12"/>
      <c r="U226" s="10" t="str">
        <f>HYPERLINK("https://pbs.twimg.com/profile_images/2554004906/e6bj9vbukpmawtab7cko.jpeg","View")</f>
        <v>View</v>
      </c>
    </row>
    <row r="227" spans="1:21" ht="30.6">
      <c r="A227" s="6">
        <v>43426.987986111111</v>
      </c>
      <c r="B227" s="7" t="str">
        <f>HYPERLINK("https://twitter.com/javidiedean","@javidiedean")</f>
        <v>@javidiedean</v>
      </c>
      <c r="C227" s="8" t="s">
        <v>970</v>
      </c>
      <c r="D227" s="9" t="s">
        <v>407</v>
      </c>
      <c r="E227" s="10" t="str">
        <f>HYPERLINK("https://twitter.com/javidiedean/status/1065873259277754368","1065873259277754368")</f>
        <v>1065873259277754368</v>
      </c>
      <c r="F227" s="11" t="s">
        <v>47</v>
      </c>
      <c r="G227" s="12"/>
      <c r="H227" s="12"/>
      <c r="I227" s="13">
        <v>0</v>
      </c>
      <c r="J227" s="13">
        <v>0</v>
      </c>
      <c r="K227" s="14" t="str">
        <f t="shared" ref="K227:K228" si="36">HYPERLINK("http://twitter.com/download/android","Twitter for Android")</f>
        <v>Twitter for Android</v>
      </c>
      <c r="L227" s="13">
        <v>138</v>
      </c>
      <c r="M227" s="13">
        <v>252</v>
      </c>
      <c r="N227" s="13">
        <v>4</v>
      </c>
      <c r="O227" s="15"/>
      <c r="P227" s="6">
        <v>40855.054791666669</v>
      </c>
      <c r="Q227" s="17" t="s">
        <v>971</v>
      </c>
      <c r="R227" s="16" t="s">
        <v>972</v>
      </c>
      <c r="S227" s="12"/>
      <c r="T227" s="12"/>
      <c r="U227" s="10" t="str">
        <f>HYPERLINK("https://pbs.twimg.com/profile_images/735139939336212480/LyY1xPit.jpg","View")</f>
        <v>View</v>
      </c>
    </row>
    <row r="228" spans="1:21" ht="40.799999999999997">
      <c r="A228" s="6">
        <v>43426.986643518518</v>
      </c>
      <c r="B228" s="7" t="str">
        <f>HYPERLINK("https://twitter.com/Alcolea10","@Alcolea10")</f>
        <v>@Alcolea10</v>
      </c>
      <c r="C228" s="8" t="s">
        <v>973</v>
      </c>
      <c r="D228" s="9" t="s">
        <v>974</v>
      </c>
      <c r="E228" s="10" t="str">
        <f>HYPERLINK("https://twitter.com/Alcolea10/status/1065872772889497600","1065872772889497600")</f>
        <v>1065872772889497600</v>
      </c>
      <c r="F228" s="12"/>
      <c r="G228" s="11" t="s">
        <v>975</v>
      </c>
      <c r="H228" s="12"/>
      <c r="I228" s="13">
        <v>13</v>
      </c>
      <c r="J228" s="13">
        <v>15</v>
      </c>
      <c r="K228" s="14" t="str">
        <f t="shared" si="36"/>
        <v>Twitter for Android</v>
      </c>
      <c r="L228" s="13">
        <v>1398</v>
      </c>
      <c r="M228" s="13">
        <v>1407</v>
      </c>
      <c r="N228" s="13">
        <v>33</v>
      </c>
      <c r="O228" s="15"/>
      <c r="P228" s="6">
        <v>41867.421006944445</v>
      </c>
      <c r="Q228" s="12"/>
      <c r="R228" s="16" t="s">
        <v>976</v>
      </c>
      <c r="S228" s="12"/>
      <c r="T228" s="12"/>
      <c r="U228" s="10" t="str">
        <f>HYPERLINK("https://pbs.twimg.com/profile_images/834323826880151552/WjxYnOpz.jpg","View")</f>
        <v>View</v>
      </c>
    </row>
    <row r="229" spans="1:21" ht="51">
      <c r="A229" s="6">
        <v>43426.985787037032</v>
      </c>
      <c r="B229" s="7" t="str">
        <f>HYPERLINK("https://twitter.com/GloriaElizo","@GloriaElizo")</f>
        <v>@GloriaElizo</v>
      </c>
      <c r="C229" s="8" t="s">
        <v>977</v>
      </c>
      <c r="D229" s="9" t="s">
        <v>978</v>
      </c>
      <c r="E229" s="10" t="str">
        <f>HYPERLINK("https://twitter.com/GloriaElizo/status/1065872463551217664","1065872463551217664")</f>
        <v>1065872463551217664</v>
      </c>
      <c r="F229" s="11" t="s">
        <v>979</v>
      </c>
      <c r="G229" s="12"/>
      <c r="H229" s="12"/>
      <c r="I229" s="13">
        <v>104</v>
      </c>
      <c r="J229" s="13">
        <v>134</v>
      </c>
      <c r="K229" s="14" t="str">
        <f t="shared" ref="K229:K230" si="37">HYPERLINK("http://twitter.com/download/iphone","Twitter for iPhone")</f>
        <v>Twitter for iPhone</v>
      </c>
      <c r="L229" s="13">
        <v>8667</v>
      </c>
      <c r="M229" s="13">
        <v>985</v>
      </c>
      <c r="N229" s="13">
        <v>169</v>
      </c>
      <c r="O229" s="19" t="s">
        <v>74</v>
      </c>
      <c r="P229" s="6">
        <v>40682.219363425924</v>
      </c>
      <c r="Q229" s="12"/>
      <c r="R229" s="16" t="s">
        <v>980</v>
      </c>
      <c r="S229" s="11" t="s">
        <v>981</v>
      </c>
      <c r="T229" s="12"/>
      <c r="U229" s="10" t="str">
        <f>HYPERLINK("https://pbs.twimg.com/profile_images/922374852778086400/Zwfig7h7.jpg","View")</f>
        <v>View</v>
      </c>
    </row>
    <row r="230" spans="1:21" ht="40.799999999999997">
      <c r="A230" s="6">
        <v>43426.985347222224</v>
      </c>
      <c r="B230" s="7" t="str">
        <f>HYPERLINK("https://twitter.com/PSOE_Ceuta","@PSOE_Ceuta")</f>
        <v>@PSOE_Ceuta</v>
      </c>
      <c r="C230" s="8" t="s">
        <v>982</v>
      </c>
      <c r="D230" s="9" t="s">
        <v>951</v>
      </c>
      <c r="E230" s="10" t="str">
        <f>HYPERLINK("https://twitter.com/PSOE_Ceuta/status/1065872300329893888","1065872300329893888")</f>
        <v>1065872300329893888</v>
      </c>
      <c r="F230" s="12"/>
      <c r="G230" s="11" t="s">
        <v>983</v>
      </c>
      <c r="H230" s="12"/>
      <c r="I230" s="13">
        <v>17</v>
      </c>
      <c r="J230" s="13">
        <v>12</v>
      </c>
      <c r="K230" s="14" t="str">
        <f t="shared" si="37"/>
        <v>Twitter for iPhone</v>
      </c>
      <c r="L230" s="13">
        <v>1796</v>
      </c>
      <c r="M230" s="13">
        <v>1724</v>
      </c>
      <c r="N230" s="13">
        <v>43</v>
      </c>
      <c r="O230" s="15"/>
      <c r="P230" s="6">
        <v>40637.064340277779</v>
      </c>
      <c r="Q230" s="17" t="s">
        <v>984</v>
      </c>
      <c r="R230" s="18"/>
      <c r="S230" s="11" t="s">
        <v>985</v>
      </c>
      <c r="T230" s="12"/>
      <c r="U230" s="10" t="str">
        <f>HYPERLINK("https://pbs.twimg.com/profile_images/960367214703542273/D-w9id1X.jpg","View")</f>
        <v>View</v>
      </c>
    </row>
    <row r="231" spans="1:21" ht="30.6">
      <c r="A231" s="6">
        <v>43426.982164351852</v>
      </c>
      <c r="B231" s="7" t="str">
        <f>HYPERLINK("https://twitter.com/mluisa13","@mluisa13")</f>
        <v>@mluisa13</v>
      </c>
      <c r="C231" s="8" t="s">
        <v>990</v>
      </c>
      <c r="D231" s="9" t="s">
        <v>45</v>
      </c>
      <c r="E231" s="10" t="str">
        <f>HYPERLINK("https://twitter.com/mluisa13/status/1065871147248640000","1065871147248640000")</f>
        <v>1065871147248640000</v>
      </c>
      <c r="F231" s="11" t="s">
        <v>84</v>
      </c>
      <c r="G231" s="12"/>
      <c r="H231" s="12"/>
      <c r="I231" s="13">
        <v>0</v>
      </c>
      <c r="J231" s="13">
        <v>0</v>
      </c>
      <c r="K231" s="14" t="str">
        <f>HYPERLINK("http://twitter.com","Twitter Web Client")</f>
        <v>Twitter Web Client</v>
      </c>
      <c r="L231" s="13">
        <v>205</v>
      </c>
      <c r="M231" s="13">
        <v>309</v>
      </c>
      <c r="N231" s="13">
        <v>14</v>
      </c>
      <c r="O231" s="15"/>
      <c r="P231" s="6">
        <v>40803.479502314818</v>
      </c>
      <c r="Q231" s="17" t="s">
        <v>993</v>
      </c>
      <c r="R231" s="16" t="s">
        <v>994</v>
      </c>
      <c r="S231" s="12"/>
      <c r="T231" s="12"/>
      <c r="U231" s="10" t="str">
        <f>HYPERLINK("https://pbs.twimg.com/profile_images/1045627788290600960/OSw49uHH.jpg","View")</f>
        <v>View</v>
      </c>
    </row>
    <row r="232" spans="1:21" ht="30.6">
      <c r="A232" s="6">
        <v>43426.980937500004</v>
      </c>
      <c r="B232" s="7" t="str">
        <f>HYPERLINK("https://twitter.com/FirmandoJetas","@FirmandoJetas")</f>
        <v>@FirmandoJetas</v>
      </c>
      <c r="C232" s="8" t="s">
        <v>995</v>
      </c>
      <c r="D232" s="9" t="s">
        <v>996</v>
      </c>
      <c r="E232" s="10" t="str">
        <f>HYPERLINK("https://twitter.com/FirmandoJetas/status/1065870703285731329","1065870703285731329")</f>
        <v>1065870703285731329</v>
      </c>
      <c r="F232" s="12"/>
      <c r="G232" s="12"/>
      <c r="H232" s="12"/>
      <c r="I232" s="13">
        <v>0</v>
      </c>
      <c r="J232" s="13">
        <v>0</v>
      </c>
      <c r="K232" s="14" t="str">
        <f t="shared" ref="K232:K234" si="38">HYPERLINK("http://twitter.com/download/android","Twitter for Android")</f>
        <v>Twitter for Android</v>
      </c>
      <c r="L232" s="13">
        <v>3</v>
      </c>
      <c r="M232" s="13">
        <v>22</v>
      </c>
      <c r="N232" s="13">
        <v>0</v>
      </c>
      <c r="O232" s="15"/>
      <c r="P232" s="6">
        <v>43424.953541666662</v>
      </c>
      <c r="Q232" s="12"/>
      <c r="R232" s="16" t="s">
        <v>997</v>
      </c>
      <c r="S232" s="12"/>
      <c r="T232" s="12"/>
      <c r="U232" s="10" t="str">
        <f>HYPERLINK("https://pbs.twimg.com/profile_images/1065143225512574978/ATCiEYe1.jpg","View")</f>
        <v>View</v>
      </c>
    </row>
    <row r="233" spans="1:21" ht="30.6">
      <c r="A233" s="6">
        <v>43426.980798611112</v>
      </c>
      <c r="B233" s="7" t="str">
        <f>HYPERLINK("https://twitter.com/juevesantes","@juevesantes")</f>
        <v>@juevesantes</v>
      </c>
      <c r="C233" s="8" t="s">
        <v>998</v>
      </c>
      <c r="D233" s="9" t="s">
        <v>45</v>
      </c>
      <c r="E233" s="10" t="str">
        <f>HYPERLINK("https://twitter.com/juevesantes/status/1065870654510112768","1065870654510112768")</f>
        <v>1065870654510112768</v>
      </c>
      <c r="F233" s="11" t="s">
        <v>47</v>
      </c>
      <c r="G233" s="12"/>
      <c r="H233" s="12"/>
      <c r="I233" s="13">
        <v>0</v>
      </c>
      <c r="J233" s="13">
        <v>0</v>
      </c>
      <c r="K233" s="14" t="str">
        <f t="shared" si="38"/>
        <v>Twitter for Android</v>
      </c>
      <c r="L233" s="13">
        <v>1310</v>
      </c>
      <c r="M233" s="13">
        <v>1565</v>
      </c>
      <c r="N233" s="13">
        <v>25</v>
      </c>
      <c r="O233" s="15"/>
      <c r="P233" s="6">
        <v>40639.330138888887</v>
      </c>
      <c r="Q233" s="17" t="s">
        <v>999</v>
      </c>
      <c r="R233" s="16" t="s">
        <v>1000</v>
      </c>
      <c r="S233" s="12"/>
      <c r="T233" s="12"/>
      <c r="U233" s="10" t="str">
        <f>HYPERLINK("https://pbs.twimg.com/profile_images/820323223690772481/54SjW_yG.jpg","View")</f>
        <v>View</v>
      </c>
    </row>
    <row r="234" spans="1:21" ht="20.399999999999999">
      <c r="A234" s="6">
        <v>43426.979675925926</v>
      </c>
      <c r="B234" s="7" t="str">
        <f>HYPERLINK("https://twitter.com/ignacius2","@ignacius2")</f>
        <v>@ignacius2</v>
      </c>
      <c r="C234" s="8" t="s">
        <v>1001</v>
      </c>
      <c r="D234" s="9" t="s">
        <v>1002</v>
      </c>
      <c r="E234" s="10" t="str">
        <f>HYPERLINK("https://twitter.com/ignacius2/status/1065870248258220032","1065870248258220032")</f>
        <v>1065870248258220032</v>
      </c>
      <c r="F234" s="11" t="s">
        <v>1003</v>
      </c>
      <c r="G234" s="12"/>
      <c r="H234" s="12"/>
      <c r="I234" s="13">
        <v>0</v>
      </c>
      <c r="J234" s="13">
        <v>0</v>
      </c>
      <c r="K234" s="14" t="str">
        <f t="shared" si="38"/>
        <v>Twitter for Android</v>
      </c>
      <c r="L234" s="13">
        <v>392</v>
      </c>
      <c r="M234" s="13">
        <v>396</v>
      </c>
      <c r="N234" s="13">
        <v>8</v>
      </c>
      <c r="O234" s="15"/>
      <c r="P234" s="6">
        <v>40894.051122685181</v>
      </c>
      <c r="Q234" s="12"/>
      <c r="R234" s="16" t="s">
        <v>1004</v>
      </c>
      <c r="S234" s="12"/>
      <c r="T234" s="12"/>
      <c r="U234" s="10" t="str">
        <f>HYPERLINK("https://pbs.twimg.com/profile_images/588806471737016321/1gRaQKr2.jpg","View")</f>
        <v>View</v>
      </c>
    </row>
    <row r="235" spans="1:21" ht="30.6">
      <c r="A235" s="6">
        <v>43426.979525462964</v>
      </c>
      <c r="B235" s="7" t="str">
        <f>HYPERLINK("https://twitter.com/maticastill","@maticastill")</f>
        <v>@maticastill</v>
      </c>
      <c r="C235" s="8" t="s">
        <v>1005</v>
      </c>
      <c r="D235" s="9" t="s">
        <v>41</v>
      </c>
      <c r="E235" s="10" t="str">
        <f>HYPERLINK("https://twitter.com/maticastill/status/1065870192239132673","1065870192239132673")</f>
        <v>1065870192239132673</v>
      </c>
      <c r="F235" s="11" t="s">
        <v>190</v>
      </c>
      <c r="G235" s="12"/>
      <c r="H235" s="12"/>
      <c r="I235" s="13">
        <v>1</v>
      </c>
      <c r="J235" s="13">
        <v>0</v>
      </c>
      <c r="K235" s="14" t="str">
        <f t="shared" ref="K235:K236" si="39">HYPERLINK("http://twitter.com/download/iphone","Twitter for iPhone")</f>
        <v>Twitter for iPhone</v>
      </c>
      <c r="L235" s="13">
        <v>1370</v>
      </c>
      <c r="M235" s="13">
        <v>1432</v>
      </c>
      <c r="N235" s="13">
        <v>16</v>
      </c>
      <c r="O235" s="15"/>
      <c r="P235" s="6">
        <v>40303.505127314813</v>
      </c>
      <c r="Q235" s="17" t="s">
        <v>1006</v>
      </c>
      <c r="R235" s="16" t="s">
        <v>1007</v>
      </c>
      <c r="S235" s="12"/>
      <c r="T235" s="12"/>
      <c r="U235" s="10" t="str">
        <f>HYPERLINK("https://pbs.twimg.com/profile_images/2495153019/3rlt0x1j1uovhbegpvee.jpeg","View")</f>
        <v>View</v>
      </c>
    </row>
    <row r="236" spans="1:21" ht="71.400000000000006">
      <c r="A236" s="6">
        <v>43426.979409722218</v>
      </c>
      <c r="B236" s="7" t="str">
        <f>HYPERLINK("https://twitter.com/kel100a","@kel100a")</f>
        <v>@kel100a</v>
      </c>
      <c r="C236" s="8" t="s">
        <v>1008</v>
      </c>
      <c r="D236" s="9" t="s">
        <v>1009</v>
      </c>
      <c r="E236" s="10" t="str">
        <f>HYPERLINK("https://twitter.com/kel100a/status/1065870151738904576","1065870151738904576")</f>
        <v>1065870151738904576</v>
      </c>
      <c r="F236" s="11" t="s">
        <v>1010</v>
      </c>
      <c r="G236" s="12"/>
      <c r="H236" s="12"/>
      <c r="I236" s="13">
        <v>2</v>
      </c>
      <c r="J236" s="13">
        <v>1</v>
      </c>
      <c r="K236" s="14" t="str">
        <f t="shared" si="39"/>
        <v>Twitter for iPhone</v>
      </c>
      <c r="L236" s="13">
        <v>3508</v>
      </c>
      <c r="M236" s="13">
        <v>3778</v>
      </c>
      <c r="N236" s="13">
        <v>5</v>
      </c>
      <c r="O236" s="15"/>
      <c r="P236" s="6">
        <v>41132.347384259258</v>
      </c>
      <c r="Q236" s="17" t="s">
        <v>1011</v>
      </c>
      <c r="R236" s="16" t="s">
        <v>1012</v>
      </c>
      <c r="S236" s="12"/>
      <c r="T236" s="12"/>
      <c r="U236" s="10" t="str">
        <f>HYPERLINK("https://pbs.twimg.com/profile_images/899695305100275712/1N0axHOg.jpg","View")</f>
        <v>View</v>
      </c>
    </row>
    <row r="237" spans="1:21" ht="30.6">
      <c r="A237" s="6">
        <v>43426.979201388887</v>
      </c>
      <c r="B237" s="7" t="str">
        <f>HYPERLINK("https://twitter.com/x_algomejor","@x_algomejor")</f>
        <v>@x_algomejor</v>
      </c>
      <c r="C237" s="8" t="s">
        <v>1013</v>
      </c>
      <c r="D237" s="9" t="s">
        <v>266</v>
      </c>
      <c r="E237" s="10" t="str">
        <f>HYPERLINK("https://twitter.com/x_algomejor/status/1065870074366574592","1065870074366574592")</f>
        <v>1065870074366574592</v>
      </c>
      <c r="F237" s="11" t="s">
        <v>292</v>
      </c>
      <c r="G237" s="12"/>
      <c r="H237" s="12"/>
      <c r="I237" s="13">
        <v>0</v>
      </c>
      <c r="J237" s="13">
        <v>0</v>
      </c>
      <c r="K237" s="14" t="str">
        <f t="shared" ref="K237:K238" si="40">HYPERLINK("http://twitter.com","Twitter Web Client")</f>
        <v>Twitter Web Client</v>
      </c>
      <c r="L237" s="13">
        <v>1361</v>
      </c>
      <c r="M237" s="13">
        <v>1786</v>
      </c>
      <c r="N237" s="13">
        <v>11</v>
      </c>
      <c r="O237" s="15"/>
      <c r="P237" s="6">
        <v>42322.487025462964</v>
      </c>
      <c r="Q237" s="12"/>
      <c r="R237" s="16" t="s">
        <v>1014</v>
      </c>
      <c r="S237" s="12"/>
      <c r="T237" s="12"/>
      <c r="U237" s="10" t="str">
        <f>HYPERLINK("https://pbs.twimg.com/profile_images/727765987173515265/27RtZfYs.jpg","View")</f>
        <v>View</v>
      </c>
    </row>
    <row r="238" spans="1:21" ht="40.799999999999997">
      <c r="A238" s="6">
        <v>43426.978483796294</v>
      </c>
      <c r="B238" s="7" t="str">
        <f>HYPERLINK("https://twitter.com/miguelac62","@miguelac62")</f>
        <v>@miguelac62</v>
      </c>
      <c r="C238" s="8" t="s">
        <v>1015</v>
      </c>
      <c r="D238" s="9" t="s">
        <v>1016</v>
      </c>
      <c r="E238" s="10" t="str">
        <f>HYPERLINK("https://twitter.com/miguelac62/status/1065869816253333504","1065869816253333504")</f>
        <v>1065869816253333504</v>
      </c>
      <c r="F238" s="11" t="s">
        <v>84</v>
      </c>
      <c r="G238" s="12"/>
      <c r="H238" s="12"/>
      <c r="I238" s="13">
        <v>0</v>
      </c>
      <c r="J238" s="13">
        <v>0</v>
      </c>
      <c r="K238" s="14" t="str">
        <f t="shared" si="40"/>
        <v>Twitter Web Client</v>
      </c>
      <c r="L238" s="13">
        <v>113</v>
      </c>
      <c r="M238" s="13">
        <v>163</v>
      </c>
      <c r="N238" s="13">
        <v>0</v>
      </c>
      <c r="O238" s="15"/>
      <c r="P238" s="6">
        <v>40238.056886574072</v>
      </c>
      <c r="Q238" s="12"/>
      <c r="R238" s="18"/>
      <c r="S238" s="12"/>
      <c r="T238" s="12"/>
      <c r="U238" s="10" t="str">
        <f>HYPERLINK("https://pbs.twimg.com/profile_images/512725983393116161/81fwDhgm.jpeg","View")</f>
        <v>View</v>
      </c>
    </row>
    <row r="239" spans="1:21" ht="20.399999999999999">
      <c r="A239" s="6">
        <v>43426.978483796294</v>
      </c>
      <c r="B239" s="7" t="str">
        <f>HYPERLINK("https://twitter.com/PakoMorote","@PakoMorote")</f>
        <v>@PakoMorote</v>
      </c>
      <c r="C239" s="8" t="s">
        <v>1017</v>
      </c>
      <c r="D239" s="9" t="s">
        <v>41</v>
      </c>
      <c r="E239" s="10" t="str">
        <f>HYPERLINK("https://twitter.com/PakoMorote/status/1065869815372541953","1065869815372541953")</f>
        <v>1065869815372541953</v>
      </c>
      <c r="F239" s="11" t="s">
        <v>42</v>
      </c>
      <c r="G239" s="12"/>
      <c r="H239" s="12"/>
      <c r="I239" s="13">
        <v>1</v>
      </c>
      <c r="J239" s="13">
        <v>0</v>
      </c>
      <c r="K239" s="14" t="str">
        <f>HYPERLINK("http://www.facebook.com/twitter","Facebook")</f>
        <v>Facebook</v>
      </c>
      <c r="L239" s="13">
        <v>1135</v>
      </c>
      <c r="M239" s="13">
        <v>841</v>
      </c>
      <c r="N239" s="13">
        <v>23</v>
      </c>
      <c r="O239" s="15"/>
      <c r="P239" s="6">
        <v>40843.120115740741</v>
      </c>
      <c r="Q239" s="17" t="s">
        <v>1018</v>
      </c>
      <c r="R239" s="18"/>
      <c r="S239" s="11" t="s">
        <v>1019</v>
      </c>
      <c r="T239" s="12"/>
      <c r="U239" s="10" t="str">
        <f>HYPERLINK("https://pbs.twimg.com/profile_images/1609010088/megafono.jpg","View")</f>
        <v>View</v>
      </c>
    </row>
    <row r="240" spans="1:21" ht="51">
      <c r="A240" s="6">
        <v>43426.977581018524</v>
      </c>
      <c r="B240" s="7" t="str">
        <f>HYPERLINK("https://twitter.com/JulioComendador","@JulioComendador")</f>
        <v>@JulioComendador</v>
      </c>
      <c r="C240" s="8" t="s">
        <v>1020</v>
      </c>
      <c r="D240" s="9" t="s">
        <v>1021</v>
      </c>
      <c r="E240" s="10" t="str">
        <f>HYPERLINK("https://twitter.com/JulioComendador/status/1065869488594272256","1065869488594272256")</f>
        <v>1065869488594272256</v>
      </c>
      <c r="F240" s="12"/>
      <c r="G240" s="11" t="s">
        <v>1022</v>
      </c>
      <c r="H240" s="12"/>
      <c r="I240" s="13">
        <v>6</v>
      </c>
      <c r="J240" s="13">
        <v>15</v>
      </c>
      <c r="K240" s="14" t="str">
        <f>HYPERLINK("http://twitter.com/download/iphone","Twitter for iPhone")</f>
        <v>Twitter for iPhone</v>
      </c>
      <c r="L240" s="13">
        <v>2527</v>
      </c>
      <c r="M240" s="13">
        <v>2199</v>
      </c>
      <c r="N240" s="13">
        <v>43</v>
      </c>
      <c r="O240" s="15"/>
      <c r="P240" s="6">
        <v>41787.024930555555</v>
      </c>
      <c r="Q240" s="17" t="s">
        <v>1023</v>
      </c>
      <c r="R240" s="16" t="s">
        <v>1024</v>
      </c>
      <c r="S240" s="11" t="s">
        <v>1025</v>
      </c>
      <c r="T240" s="12"/>
      <c r="U240" s="10" t="str">
        <f>HYPERLINK("https://pbs.twimg.com/profile_images/929762018873237505/n3VoUiZJ.jpg","View")</f>
        <v>View</v>
      </c>
    </row>
    <row r="241" spans="1:21" ht="30.6">
      <c r="A241" s="6">
        <v>43426.977476851855</v>
      </c>
      <c r="B241" s="7" t="str">
        <f>HYPERLINK("https://twitter.com/M_AguilarBordas","@M_AguilarBordas")</f>
        <v>@M_AguilarBordas</v>
      </c>
      <c r="C241" s="8" t="s">
        <v>1026</v>
      </c>
      <c r="D241" s="9" t="s">
        <v>45</v>
      </c>
      <c r="E241" s="10" t="str">
        <f>HYPERLINK("https://twitter.com/M_AguilarBordas/status/1065869450828804096","1065869450828804096")</f>
        <v>1065869450828804096</v>
      </c>
      <c r="F241" s="11" t="s">
        <v>84</v>
      </c>
      <c r="G241" s="12"/>
      <c r="H241" s="12"/>
      <c r="I241" s="13">
        <v>0</v>
      </c>
      <c r="J241" s="13">
        <v>0</v>
      </c>
      <c r="K241" s="14" t="str">
        <f>HYPERLINK("http://twitter.com","Twitter Web Client")</f>
        <v>Twitter Web Client</v>
      </c>
      <c r="L241" s="13">
        <v>986</v>
      </c>
      <c r="M241" s="13">
        <v>1246</v>
      </c>
      <c r="N241" s="13">
        <v>24</v>
      </c>
      <c r="O241" s="15"/>
      <c r="P241" s="6">
        <v>40386.400057870371</v>
      </c>
      <c r="Q241" s="12"/>
      <c r="R241" s="18"/>
      <c r="S241" s="12"/>
      <c r="T241" s="12"/>
      <c r="U241" s="10" t="str">
        <f>HYPERLINK("https://pbs.twimg.com/profile_images/1048097238034079744/1kPZYdqG.jpg","View")</f>
        <v>View</v>
      </c>
    </row>
    <row r="242" spans="1:21" ht="30.6">
      <c r="A242" s="6">
        <v>43426.977361111116</v>
      </c>
      <c r="B242" s="7" t="str">
        <f>HYPERLINK("https://twitter.com/Mortimer_Fu","@Mortimer_Fu")</f>
        <v>@Mortimer_Fu</v>
      </c>
      <c r="C242" s="8" t="s">
        <v>1027</v>
      </c>
      <c r="D242" s="9" t="s">
        <v>1028</v>
      </c>
      <c r="E242" s="10" t="str">
        <f>HYPERLINK("https://twitter.com/Mortimer_Fu/status/1065869407874895873","1065869407874895873")</f>
        <v>1065869407874895873</v>
      </c>
      <c r="F242" s="11" t="s">
        <v>292</v>
      </c>
      <c r="G242" s="12"/>
      <c r="H242" s="12"/>
      <c r="I242" s="13">
        <v>9</v>
      </c>
      <c r="J242" s="13">
        <v>32</v>
      </c>
      <c r="K242" s="14" t="str">
        <f t="shared" ref="K242:K243" si="41">HYPERLINK("http://twitter.com/download/android","Twitter for Android")</f>
        <v>Twitter for Android</v>
      </c>
      <c r="L242" s="13">
        <v>103835</v>
      </c>
      <c r="M242" s="13">
        <v>596</v>
      </c>
      <c r="N242" s="13">
        <v>1142</v>
      </c>
      <c r="O242" s="15"/>
      <c r="P242" s="6">
        <v>41051.460659722223</v>
      </c>
      <c r="Q242" s="17" t="s">
        <v>1029</v>
      </c>
      <c r="R242" s="16" t="s">
        <v>1030</v>
      </c>
      <c r="S242" s="11" t="s">
        <v>1031</v>
      </c>
      <c r="T242" s="12"/>
      <c r="U242" s="10" t="str">
        <f>HYPERLINK("https://pbs.twimg.com/profile_images/819796363936305152/kFiTSS8B.jpg","View")</f>
        <v>View</v>
      </c>
    </row>
    <row r="243" spans="1:21" ht="30.6">
      <c r="A243" s="6">
        <v>43426.976863425924</v>
      </c>
      <c r="B243" s="7" t="str">
        <f>HYPERLINK("https://twitter.com/Herrero1946Jose","@Herrero1946Jose")</f>
        <v>@Herrero1946Jose</v>
      </c>
      <c r="C243" s="8" t="s">
        <v>444</v>
      </c>
      <c r="D243" s="9" t="s">
        <v>266</v>
      </c>
      <c r="E243" s="10" t="str">
        <f>HYPERLINK("https://twitter.com/Herrero1946Jose/status/1065869228824281088","1065869228824281088")</f>
        <v>1065869228824281088</v>
      </c>
      <c r="F243" s="11" t="s">
        <v>292</v>
      </c>
      <c r="G243" s="12"/>
      <c r="H243" s="12"/>
      <c r="I243" s="13">
        <v>0</v>
      </c>
      <c r="J243" s="13">
        <v>0</v>
      </c>
      <c r="K243" s="14" t="str">
        <f t="shared" si="41"/>
        <v>Twitter for Android</v>
      </c>
      <c r="L243" s="13">
        <v>1575</v>
      </c>
      <c r="M243" s="13">
        <v>1566</v>
      </c>
      <c r="N243" s="13">
        <v>14</v>
      </c>
      <c r="O243" s="15"/>
      <c r="P243" s="6">
        <v>41692.413263888891</v>
      </c>
      <c r="Q243" s="17" t="s">
        <v>447</v>
      </c>
      <c r="R243" s="16" t="s">
        <v>448</v>
      </c>
      <c r="S243" s="12"/>
      <c r="T243" s="12"/>
      <c r="U243" s="10" t="str">
        <f>HYPERLINK("https://pbs.twimg.com/profile_images/660217709758701568/G2Wjj43D.jpg","View")</f>
        <v>View</v>
      </c>
    </row>
    <row r="244" spans="1:21" ht="51">
      <c r="A244" s="6">
        <v>43426.976527777777</v>
      </c>
      <c r="B244" s="7" t="str">
        <f>HYPERLINK("https://twitter.com/juan_roquetero","@juan_roquetero")</f>
        <v>@juan_roquetero</v>
      </c>
      <c r="C244" s="8" t="s">
        <v>1032</v>
      </c>
      <c r="D244" s="9" t="s">
        <v>1033</v>
      </c>
      <c r="E244" s="10" t="str">
        <f>HYPERLINK("https://twitter.com/juan_roquetero/status/1065869104865775616","1065869104865775616")</f>
        <v>1065869104865775616</v>
      </c>
      <c r="F244" s="12"/>
      <c r="G244" s="12"/>
      <c r="H244" s="12"/>
      <c r="I244" s="13">
        <v>0</v>
      </c>
      <c r="J244" s="13">
        <v>1</v>
      </c>
      <c r="K244" s="14" t="str">
        <f>HYPERLINK("http://twitter.com/download/iphone","Twitter for iPhone")</f>
        <v>Twitter for iPhone</v>
      </c>
      <c r="L244" s="13">
        <v>1126</v>
      </c>
      <c r="M244" s="13">
        <v>1123</v>
      </c>
      <c r="N244" s="13">
        <v>13</v>
      </c>
      <c r="O244" s="15"/>
      <c r="P244" s="6">
        <v>42005.51697916667</v>
      </c>
      <c r="Q244" s="17" t="s">
        <v>1035</v>
      </c>
      <c r="R244" s="18"/>
      <c r="S244" s="12"/>
      <c r="T244" s="12"/>
      <c r="U244" s="10" t="str">
        <f>HYPERLINK("https://pbs.twimg.com/profile_images/739398476711264256/Exdsu4XM.jpg","View")</f>
        <v>View</v>
      </c>
    </row>
    <row r="245" spans="1:21" ht="40.799999999999997">
      <c r="A245" s="6">
        <v>43426.975127314814</v>
      </c>
      <c r="B245" s="7" t="str">
        <f>HYPERLINK("https://twitter.com/rosamariaartal","@rosamariaartal")</f>
        <v>@rosamariaartal</v>
      </c>
      <c r="C245" s="8" t="s">
        <v>1037</v>
      </c>
      <c r="D245" s="9" t="s">
        <v>1038</v>
      </c>
      <c r="E245" s="10" t="str">
        <f>HYPERLINK("https://twitter.com/rosamariaartal/status/1065868599850602496","1065868599850602496")</f>
        <v>1065868599850602496</v>
      </c>
      <c r="F245" s="11" t="s">
        <v>84</v>
      </c>
      <c r="G245" s="12"/>
      <c r="H245" s="12"/>
      <c r="I245" s="13">
        <v>12</v>
      </c>
      <c r="J245" s="13">
        <v>12</v>
      </c>
      <c r="K245" s="14" t="str">
        <f t="shared" ref="K245:K246" si="42">HYPERLINK("http://twitter.com","Twitter Web Client")</f>
        <v>Twitter Web Client</v>
      </c>
      <c r="L245" s="13">
        <v>103731</v>
      </c>
      <c r="M245" s="13">
        <v>3006</v>
      </c>
      <c r="N245" s="13">
        <v>2702</v>
      </c>
      <c r="O245" s="15"/>
      <c r="P245" s="6">
        <v>40094.444687499999</v>
      </c>
      <c r="Q245" s="17" t="s">
        <v>203</v>
      </c>
      <c r="R245" s="16" t="s">
        <v>1039</v>
      </c>
      <c r="S245" s="11" t="s">
        <v>1040</v>
      </c>
      <c r="T245" s="12"/>
      <c r="U245" s="10" t="str">
        <f>HYPERLINK("https://pbs.twimg.com/profile_images/780888265238974464/fOR4WuD5.jpg","View")</f>
        <v>View</v>
      </c>
    </row>
    <row r="246" spans="1:21" ht="40.799999999999997">
      <c r="A246" s="6">
        <v>43426.974618055552</v>
      </c>
      <c r="B246" s="7" t="str">
        <f>HYPERLINK("https://twitter.com/yonolodije_ynld","@yonolodije_ynld")</f>
        <v>@yonolodije_ynld</v>
      </c>
      <c r="C246" s="8" t="s">
        <v>1041</v>
      </c>
      <c r="D246" s="9" t="s">
        <v>45</v>
      </c>
      <c r="E246" s="10" t="str">
        <f>HYPERLINK("https://twitter.com/yonolodije_ynld/status/1065868413833281536","1065868413833281536")</f>
        <v>1065868413833281536</v>
      </c>
      <c r="F246" s="11" t="s">
        <v>84</v>
      </c>
      <c r="G246" s="12"/>
      <c r="H246" s="12"/>
      <c r="I246" s="13">
        <v>1</v>
      </c>
      <c r="J246" s="13">
        <v>0</v>
      </c>
      <c r="K246" s="14" t="str">
        <f t="shared" si="42"/>
        <v>Twitter Web Client</v>
      </c>
      <c r="L246" s="13">
        <v>878</v>
      </c>
      <c r="M246" s="13">
        <v>3111</v>
      </c>
      <c r="N246" s="13">
        <v>8</v>
      </c>
      <c r="O246" s="15"/>
      <c r="P246" s="6">
        <v>42778.616041666668</v>
      </c>
      <c r="Q246" s="17" t="s">
        <v>29</v>
      </c>
      <c r="R246" s="16" t="s">
        <v>1042</v>
      </c>
      <c r="S246" s="11" t="s">
        <v>1043</v>
      </c>
      <c r="T246" s="12"/>
      <c r="U246" s="10" t="str">
        <f>HYPERLINK("https://pbs.twimg.com/profile_images/830917648942759937/f3eR2uyY.jpg","View")</f>
        <v>View</v>
      </c>
    </row>
    <row r="247" spans="1:21" ht="40.799999999999997">
      <c r="A247" s="6">
        <v>43426.969293981485</v>
      </c>
      <c r="B247" s="7" t="str">
        <f>HYPERLINK("https://twitter.com/AndresF45058650","@AndresF45058650")</f>
        <v>@AndresF45058650</v>
      </c>
      <c r="C247" s="8" t="s">
        <v>1044</v>
      </c>
      <c r="D247" s="9" t="s">
        <v>1045</v>
      </c>
      <c r="E247" s="10" t="str">
        <f>HYPERLINK("https://twitter.com/AndresF45058650/status/1065866485464264714","1065866485464264714")</f>
        <v>1065866485464264714</v>
      </c>
      <c r="F247" s="11" t="s">
        <v>1046</v>
      </c>
      <c r="G247" s="12"/>
      <c r="H247" s="12"/>
      <c r="I247" s="13">
        <v>0</v>
      </c>
      <c r="J247" s="13">
        <v>0</v>
      </c>
      <c r="K247" s="14" t="str">
        <f>HYPERLINK("http://twitter.com/download/android","Twitter for Android")</f>
        <v>Twitter for Android</v>
      </c>
      <c r="L247" s="13">
        <v>44</v>
      </c>
      <c r="M247" s="13">
        <v>143</v>
      </c>
      <c r="N247" s="13">
        <v>0</v>
      </c>
      <c r="O247" s="15"/>
      <c r="P247" s="6">
        <v>43348.393680555557</v>
      </c>
      <c r="Q247" s="12"/>
      <c r="R247" s="18"/>
      <c r="S247" s="12"/>
      <c r="T247" s="12"/>
      <c r="U247" s="10" t="str">
        <f>HYPERLINK("https://pbs.twimg.com/profile_images/1064090016882876416/V_wn_0bX.jpg","View")</f>
        <v>View</v>
      </c>
    </row>
    <row r="248" spans="1:21" ht="30.6">
      <c r="A248" s="6">
        <v>43426.969131944439</v>
      </c>
      <c r="B248" s="7" t="str">
        <f>HYPERLINK("https://twitter.com/lolapastur","@lolapastur")</f>
        <v>@lolapastur</v>
      </c>
      <c r="C248" s="8" t="s">
        <v>1047</v>
      </c>
      <c r="D248" s="9" t="s">
        <v>1048</v>
      </c>
      <c r="E248" s="10" t="str">
        <f>HYPERLINK("https://twitter.com/lolapastur/status/1065866427305992193","1065866427305992193")</f>
        <v>1065866427305992193</v>
      </c>
      <c r="F248" s="11" t="s">
        <v>1049</v>
      </c>
      <c r="G248" s="12"/>
      <c r="H248" s="12"/>
      <c r="I248" s="13">
        <v>0</v>
      </c>
      <c r="J248" s="13">
        <v>0</v>
      </c>
      <c r="K248" s="14" t="str">
        <f>HYPERLINK("http://twitter.com/download/iphone","Twitter for iPhone")</f>
        <v>Twitter for iPhone</v>
      </c>
      <c r="L248" s="13">
        <v>3768</v>
      </c>
      <c r="M248" s="13">
        <v>2836</v>
      </c>
      <c r="N248" s="13">
        <v>32</v>
      </c>
      <c r="O248" s="15"/>
      <c r="P248" s="6">
        <v>40913.224293981482</v>
      </c>
      <c r="Q248" s="12"/>
      <c r="R248" s="16" t="s">
        <v>1050</v>
      </c>
      <c r="S248" s="12"/>
      <c r="T248" s="12"/>
      <c r="U248" s="10" t="str">
        <f>HYPERLINK("https://pbs.twimg.com/profile_images/934821295736451073/tnymHvNj.jpg","View")</f>
        <v>View</v>
      </c>
    </row>
    <row r="249" spans="1:21" ht="30.6">
      <c r="A249" s="6">
        <v>43426.968796296293</v>
      </c>
      <c r="B249" s="7" t="str">
        <f>HYPERLINK("https://twitter.com/eldiarioAnd","@eldiarioAnd")</f>
        <v>@eldiarioAnd</v>
      </c>
      <c r="C249" s="8" t="s">
        <v>1051</v>
      </c>
      <c r="D249" s="9" t="s">
        <v>1052</v>
      </c>
      <c r="E249" s="10" t="str">
        <f>HYPERLINK("https://twitter.com/eldiarioAnd/status/1065866304006041600","1065866304006041600")</f>
        <v>1065866304006041600</v>
      </c>
      <c r="F249" s="11" t="s">
        <v>1053</v>
      </c>
      <c r="G249" s="11" t="s">
        <v>1054</v>
      </c>
      <c r="H249" s="12"/>
      <c r="I249" s="13">
        <v>0</v>
      </c>
      <c r="J249" s="13">
        <v>1</v>
      </c>
      <c r="K249" s="14" t="str">
        <f>HYPERLINK("https://www.hootsuite.com","Hootsuite Inc.")</f>
        <v>Hootsuite Inc.</v>
      </c>
      <c r="L249" s="13">
        <v>12757</v>
      </c>
      <c r="M249" s="13">
        <v>1515</v>
      </c>
      <c r="N249" s="13">
        <v>463</v>
      </c>
      <c r="O249" s="15"/>
      <c r="P249" s="6">
        <v>41303.541689814811</v>
      </c>
      <c r="Q249" s="17" t="s">
        <v>264</v>
      </c>
      <c r="R249" s="16" t="s">
        <v>1055</v>
      </c>
      <c r="S249" s="11" t="s">
        <v>1056</v>
      </c>
      <c r="T249" s="12"/>
      <c r="U249" s="10" t="str">
        <f>HYPERLINK("https://pbs.twimg.com/profile_images/576023590258102272/oRB0jI5T.jpeg","View")</f>
        <v>View</v>
      </c>
    </row>
    <row r="250" spans="1:21" ht="30.6">
      <c r="A250" s="6">
        <v>43426.968518518523</v>
      </c>
      <c r="B250" s="7" t="str">
        <f>HYPERLINK("https://twitter.com/PedroPmotero","@PedroPmotero")</f>
        <v>@PedroPmotero</v>
      </c>
      <c r="C250" s="8" t="s">
        <v>1057</v>
      </c>
      <c r="D250" s="9" t="s">
        <v>41</v>
      </c>
      <c r="E250" s="10" t="str">
        <f>HYPERLINK("https://twitter.com/PedroPmotero/status/1065866204005449733","1065866204005449733")</f>
        <v>1065866204005449733</v>
      </c>
      <c r="F250" s="11" t="s">
        <v>42</v>
      </c>
      <c r="G250" s="12"/>
      <c r="H250" s="12"/>
      <c r="I250" s="13">
        <v>2</v>
      </c>
      <c r="J250" s="13">
        <v>1</v>
      </c>
      <c r="K250" s="14" t="str">
        <f>HYPERLINK("http://twitter.com/#!/download/ipad","Twitter for iPad")</f>
        <v>Twitter for iPad</v>
      </c>
      <c r="L250" s="13">
        <v>15402</v>
      </c>
      <c r="M250" s="13">
        <v>10701</v>
      </c>
      <c r="N250" s="13">
        <v>105</v>
      </c>
      <c r="O250" s="15"/>
      <c r="P250" s="6">
        <v>40949.024178240739</v>
      </c>
      <c r="Q250" s="17" t="s">
        <v>1058</v>
      </c>
      <c r="R250" s="16" t="s">
        <v>1059</v>
      </c>
      <c r="S250" s="12"/>
      <c r="T250" s="12"/>
      <c r="U250" s="10" t="str">
        <f>HYPERLINK("https://pbs.twimg.com/profile_images/1060236053385220096/HHWME8I9.jpg","View")</f>
        <v>View</v>
      </c>
    </row>
    <row r="251" spans="1:21" ht="30.6">
      <c r="A251" s="6">
        <v>43426.967141203699</v>
      </c>
      <c r="B251" s="7" t="str">
        <f>HYPERLINK("https://twitter.com/pmusifloren","@pmusifloren")</f>
        <v>@pmusifloren</v>
      </c>
      <c r="C251" s="8" t="s">
        <v>1060</v>
      </c>
      <c r="D251" s="9" t="s">
        <v>45</v>
      </c>
      <c r="E251" s="10" t="str">
        <f>HYPERLINK("https://twitter.com/pmusifloren/status/1065865706649149440","1065865706649149440")</f>
        <v>1065865706649149440</v>
      </c>
      <c r="F251" s="11" t="s">
        <v>84</v>
      </c>
      <c r="G251" s="12"/>
      <c r="H251" s="12"/>
      <c r="I251" s="13">
        <v>3</v>
      </c>
      <c r="J251" s="13">
        <v>0</v>
      </c>
      <c r="K251" s="14" t="str">
        <f t="shared" ref="K251:K252" si="43">HYPERLINK("http://twitter.com","Twitter Web Client")</f>
        <v>Twitter Web Client</v>
      </c>
      <c r="L251" s="13">
        <v>3205</v>
      </c>
      <c r="M251" s="13">
        <v>3295</v>
      </c>
      <c r="N251" s="13">
        <v>30</v>
      </c>
      <c r="O251" s="15"/>
      <c r="P251" s="6">
        <v>41280.462199074071</v>
      </c>
      <c r="Q251" s="12"/>
      <c r="R251" s="16" t="s">
        <v>1061</v>
      </c>
      <c r="S251" s="11" t="s">
        <v>1062</v>
      </c>
      <c r="T251" s="12"/>
      <c r="U251" s="10" t="str">
        <f>HYPERLINK("https://pbs.twimg.com/profile_images/934123175583109120/-I6dDis1.jpg","View")</f>
        <v>View</v>
      </c>
    </row>
    <row r="252" spans="1:21" ht="20.399999999999999">
      <c r="A252" s="6">
        <v>43426.965833333335</v>
      </c>
      <c r="B252" s="7" t="str">
        <f>HYPERLINK("https://twitter.com/lfilella","@lfilella")</f>
        <v>@lfilella</v>
      </c>
      <c r="C252" s="8" t="s">
        <v>1063</v>
      </c>
      <c r="D252" s="9" t="s">
        <v>1064</v>
      </c>
      <c r="E252" s="10" t="str">
        <f>HYPERLINK("https://twitter.com/lfilella/status/1065865232667549696","1065865232667549696")</f>
        <v>1065865232667549696</v>
      </c>
      <c r="F252" s="11" t="s">
        <v>1065</v>
      </c>
      <c r="G252" s="12"/>
      <c r="H252" s="12"/>
      <c r="I252" s="13">
        <v>0</v>
      </c>
      <c r="J252" s="13">
        <v>0</v>
      </c>
      <c r="K252" s="14" t="str">
        <f t="shared" si="43"/>
        <v>Twitter Web Client</v>
      </c>
      <c r="L252" s="13">
        <v>2432</v>
      </c>
      <c r="M252" s="13">
        <v>466</v>
      </c>
      <c r="N252" s="13">
        <v>110</v>
      </c>
      <c r="O252" s="15"/>
      <c r="P252" s="6">
        <v>40195.975729166668</v>
      </c>
      <c r="Q252" s="17" t="s">
        <v>1066</v>
      </c>
      <c r="R252" s="16" t="s">
        <v>1067</v>
      </c>
      <c r="S252" s="11" t="s">
        <v>1068</v>
      </c>
      <c r="T252" s="12"/>
      <c r="U252" s="10" t="str">
        <f>HYPERLINK("https://pbs.twimg.com/profile_images/1035127368241819648/Dv51-vsv.jpg","View")</f>
        <v>View</v>
      </c>
    </row>
    <row r="253" spans="1:21" ht="30.6">
      <c r="A253" s="6">
        <v>43426.965567129635</v>
      </c>
      <c r="B253" s="7" t="str">
        <f>HYPERLINK("https://twitter.com/chamademesimbad","@chamademesimbad")</f>
        <v>@chamademesimbad</v>
      </c>
      <c r="C253" s="8" t="s">
        <v>1069</v>
      </c>
      <c r="D253" s="9" t="s">
        <v>1070</v>
      </c>
      <c r="E253" s="10" t="str">
        <f>HYPERLINK("https://twitter.com/chamademesimbad/status/1065865134726397952","1065865134726397952")</f>
        <v>1065865134726397952</v>
      </c>
      <c r="F253" s="12"/>
      <c r="G253" s="12"/>
      <c r="H253" s="12"/>
      <c r="I253" s="13">
        <v>0</v>
      </c>
      <c r="J253" s="13">
        <v>3</v>
      </c>
      <c r="K253" s="14" t="str">
        <f>HYPERLINK("http://twitter.com/download/android","Twitter for Android")</f>
        <v>Twitter for Android</v>
      </c>
      <c r="L253" s="13">
        <v>7192</v>
      </c>
      <c r="M253" s="13">
        <v>6204</v>
      </c>
      <c r="N253" s="13">
        <v>152</v>
      </c>
      <c r="O253" s="15"/>
      <c r="P253" s="6">
        <v>39991.148506944446</v>
      </c>
      <c r="Q253" s="17" t="s">
        <v>1071</v>
      </c>
      <c r="R253" s="16" t="s">
        <v>1072</v>
      </c>
      <c r="S253" s="11" t="s">
        <v>1073</v>
      </c>
      <c r="T253" s="12"/>
      <c r="U253" s="10" t="str">
        <f>HYPERLINK("https://pbs.twimg.com/profile_images/812714590949769216/VYxnw7zT.jpg","View")</f>
        <v>View</v>
      </c>
    </row>
    <row r="254" spans="1:21" ht="40.799999999999997">
      <c r="A254" s="6">
        <v>43426.963055555556</v>
      </c>
      <c r="B254" s="7" t="str">
        <f>HYPERLINK("https://twitter.com/josepjover","@josepjover")</f>
        <v>@josepjover</v>
      </c>
      <c r="C254" s="8" t="s">
        <v>1074</v>
      </c>
      <c r="D254" s="9" t="s">
        <v>45</v>
      </c>
      <c r="E254" s="10" t="str">
        <f>HYPERLINK("https://twitter.com/josepjover/status/1065864224176517123","1065864224176517123")</f>
        <v>1065864224176517123</v>
      </c>
      <c r="F254" s="11" t="s">
        <v>84</v>
      </c>
      <c r="G254" s="12"/>
      <c r="H254" s="12"/>
      <c r="I254" s="13">
        <v>1</v>
      </c>
      <c r="J254" s="13">
        <v>0</v>
      </c>
      <c r="K254" s="14" t="str">
        <f>HYPERLINK("http://twitter.com","Twitter Web Client")</f>
        <v>Twitter Web Client</v>
      </c>
      <c r="L254" s="13">
        <v>8735</v>
      </c>
      <c r="M254" s="13">
        <v>172</v>
      </c>
      <c r="N254" s="13">
        <v>410</v>
      </c>
      <c r="O254" s="15"/>
      <c r="P254" s="6">
        <v>40396.108113425929</v>
      </c>
      <c r="Q254" s="17" t="s">
        <v>187</v>
      </c>
      <c r="R254" s="16" t="s">
        <v>1075</v>
      </c>
      <c r="S254" s="11" t="s">
        <v>1076</v>
      </c>
      <c r="T254" s="12"/>
      <c r="U254" s="10" t="str">
        <f>HYPERLINK("https://pbs.twimg.com/profile_images/1016391950012993537/PcM6Szg3.jpg","View")</f>
        <v>View</v>
      </c>
    </row>
    <row r="255" spans="1:21" ht="51">
      <c r="A255" s="6">
        <v>43426.962824074071</v>
      </c>
      <c r="B255" s="7" t="str">
        <f>HYPERLINK("https://twitter.com/mhortet","@mhortet")</f>
        <v>@mhortet</v>
      </c>
      <c r="C255" s="8" t="s">
        <v>900</v>
      </c>
      <c r="D255" s="9" t="s">
        <v>901</v>
      </c>
      <c r="E255" s="10" t="str">
        <f>HYPERLINK("https://twitter.com/mhortet/status/1065864140131053569","1065864140131053569")</f>
        <v>1065864140131053569</v>
      </c>
      <c r="F255" s="11" t="s">
        <v>47</v>
      </c>
      <c r="G255" s="12"/>
      <c r="H255" s="12"/>
      <c r="I255" s="13">
        <v>2</v>
      </c>
      <c r="J255" s="13">
        <v>2</v>
      </c>
      <c r="K255" s="14" t="str">
        <f t="shared" ref="K255:K256" si="44">HYPERLINK("http://twitter.com/download/android","Twitter for Android")</f>
        <v>Twitter for Android</v>
      </c>
      <c r="L255" s="13">
        <v>465</v>
      </c>
      <c r="M255" s="13">
        <v>673</v>
      </c>
      <c r="N255" s="13">
        <v>1</v>
      </c>
      <c r="O255" s="15"/>
      <c r="P255" s="6">
        <v>40321.291319444441</v>
      </c>
      <c r="Q255" s="17" t="s">
        <v>904</v>
      </c>
      <c r="R255" s="18"/>
      <c r="S255" s="11" t="s">
        <v>905</v>
      </c>
      <c r="T255" s="12"/>
      <c r="U255" s="10" t="str">
        <f>HYPERLINK("https://pbs.twimg.com/profile_images/1014949928454549504/-z1u2Xri.jpg","View")</f>
        <v>View</v>
      </c>
    </row>
    <row r="256" spans="1:21" ht="30.6">
      <c r="A256" s="6">
        <v>43426.959745370375</v>
      </c>
      <c r="B256" s="7" t="str">
        <f>HYPERLINK("https://twitter.com/lucreciahevia","@lucreciahevia")</f>
        <v>@lucreciahevia</v>
      </c>
      <c r="C256" s="8" t="s">
        <v>1077</v>
      </c>
      <c r="D256" s="9" t="s">
        <v>1078</v>
      </c>
      <c r="E256" s="10" t="str">
        <f>HYPERLINK("https://twitter.com/lucreciahevia/status/1065863026685956096","1065863026685956096")</f>
        <v>1065863026685956096</v>
      </c>
      <c r="F256" s="11" t="s">
        <v>1079</v>
      </c>
      <c r="G256" s="12"/>
      <c r="H256" s="12"/>
      <c r="I256" s="13">
        <v>1</v>
      </c>
      <c r="J256" s="13">
        <v>0</v>
      </c>
      <c r="K256" s="14" t="str">
        <f t="shared" si="44"/>
        <v>Twitter for Android</v>
      </c>
      <c r="L256" s="13">
        <v>2313</v>
      </c>
      <c r="M256" s="13">
        <v>1786</v>
      </c>
      <c r="N256" s="13">
        <v>129</v>
      </c>
      <c r="O256" s="15"/>
      <c r="P256" s="6">
        <v>40544.389444444445</v>
      </c>
      <c r="Q256" s="17" t="s">
        <v>264</v>
      </c>
      <c r="R256" s="16" t="s">
        <v>1080</v>
      </c>
      <c r="S256" s="11" t="s">
        <v>1081</v>
      </c>
      <c r="T256" s="12"/>
      <c r="U256" s="10" t="str">
        <f>HYPERLINK("https://pbs.twimg.com/profile_images/488090014811574272/a-sRKgoo.jpeg","View")</f>
        <v>View</v>
      </c>
    </row>
    <row r="257" spans="1:21" ht="30.6">
      <c r="A257" s="6">
        <v>43426.959733796291</v>
      </c>
      <c r="B257" s="7" t="str">
        <f>HYPERLINK("https://twitter.com/JavierU05673514","@JavierU05673514")</f>
        <v>@JavierU05673514</v>
      </c>
      <c r="C257" s="8" t="s">
        <v>1082</v>
      </c>
      <c r="D257" s="9" t="s">
        <v>1083</v>
      </c>
      <c r="E257" s="10" t="str">
        <f>HYPERLINK("https://twitter.com/JavierU05673514/status/1065863021187276800","1065863021187276800")</f>
        <v>1065863021187276800</v>
      </c>
      <c r="F257" s="11" t="s">
        <v>47</v>
      </c>
      <c r="G257" s="12"/>
      <c r="H257" s="12"/>
      <c r="I257" s="13">
        <v>0</v>
      </c>
      <c r="J257" s="13">
        <v>0</v>
      </c>
      <c r="K257" s="14" t="str">
        <f>HYPERLINK("http://twitter.com","Twitter Web Client")</f>
        <v>Twitter Web Client</v>
      </c>
      <c r="L257" s="13">
        <v>42</v>
      </c>
      <c r="M257" s="13">
        <v>150</v>
      </c>
      <c r="N257" s="13">
        <v>0</v>
      </c>
      <c r="O257" s="15"/>
      <c r="P257" s="6">
        <v>43326.305648148147</v>
      </c>
      <c r="Q257" s="12"/>
      <c r="R257" s="18"/>
      <c r="S257" s="12"/>
      <c r="T257" s="12"/>
      <c r="U257" s="10" t="str">
        <f>HYPERLINK("https://pbs.twimg.com/profile_images/1029372548562210817/_Z5Vwodl.jpg","View")</f>
        <v>View</v>
      </c>
    </row>
    <row r="258" spans="1:21" ht="20.399999999999999">
      <c r="A258" s="6">
        <v>43426.959004629629</v>
      </c>
      <c r="B258" s="7" t="str">
        <f t="shared" ref="B258:B259" si="45">HYPERLINK("https://twitter.com/fetoca","@fetoca")</f>
        <v>@fetoca</v>
      </c>
      <c r="C258" s="8" t="s">
        <v>1084</v>
      </c>
      <c r="D258" s="9" t="s">
        <v>1085</v>
      </c>
      <c r="E258" s="10" t="str">
        <f>HYPERLINK("https://twitter.com/fetoca/status/1065862755960410112","1065862755960410112")</f>
        <v>1065862755960410112</v>
      </c>
      <c r="F258" s="11" t="s">
        <v>1086</v>
      </c>
      <c r="G258" s="12"/>
      <c r="H258" s="12"/>
      <c r="I258" s="13">
        <v>0</v>
      </c>
      <c r="J258" s="13">
        <v>0</v>
      </c>
      <c r="K258" s="14" t="str">
        <f>HYPERLINK("http://www.facebook.com/twitter","Facebook")</f>
        <v>Facebook</v>
      </c>
      <c r="L258" s="13">
        <v>74</v>
      </c>
      <c r="M258" s="13">
        <v>316</v>
      </c>
      <c r="N258" s="13">
        <v>1</v>
      </c>
      <c r="O258" s="15"/>
      <c r="P258" s="6">
        <v>40187.706886574073</v>
      </c>
      <c r="Q258" s="12"/>
      <c r="R258" s="18"/>
      <c r="S258" s="12"/>
      <c r="T258" s="12"/>
      <c r="U258" s="10" t="str">
        <f t="shared" ref="U258:U259" si="46">HYPERLINK("https://pbs.twimg.com/profile_images/1851828317/35788_1205870845525_1791285772_401093_6402749_n.jpg","View")</f>
        <v>View</v>
      </c>
    </row>
    <row r="259" spans="1:21" ht="20.399999999999999">
      <c r="A259" s="6">
        <v>43426.958599537036</v>
      </c>
      <c r="B259" s="7" t="str">
        <f t="shared" si="45"/>
        <v>@fetoca</v>
      </c>
      <c r="C259" s="8" t="s">
        <v>1084</v>
      </c>
      <c r="D259" s="9" t="s">
        <v>1087</v>
      </c>
      <c r="E259" s="10" t="str">
        <f>HYPERLINK("https://twitter.com/fetoca/status/1065862609600036864","1065862609600036864")</f>
        <v>1065862609600036864</v>
      </c>
      <c r="F259" s="11" t="s">
        <v>1088</v>
      </c>
      <c r="G259" s="12"/>
      <c r="H259" s="12"/>
      <c r="I259" s="13">
        <v>0</v>
      </c>
      <c r="J259" s="13">
        <v>0</v>
      </c>
      <c r="K259" s="14" t="str">
        <f>HYPERLINK("https://www.google.com/","Google")</f>
        <v>Google</v>
      </c>
      <c r="L259" s="13">
        <v>74</v>
      </c>
      <c r="M259" s="13">
        <v>316</v>
      </c>
      <c r="N259" s="13">
        <v>1</v>
      </c>
      <c r="O259" s="15"/>
      <c r="P259" s="6">
        <v>40187.706886574073</v>
      </c>
      <c r="Q259" s="12"/>
      <c r="R259" s="18"/>
      <c r="S259" s="12"/>
      <c r="T259" s="12"/>
      <c r="U259" s="10" t="str">
        <f t="shared" si="46"/>
        <v>View</v>
      </c>
    </row>
    <row r="260" spans="1:21" ht="30.6">
      <c r="A260" s="6">
        <v>43426.958495370374</v>
      </c>
      <c r="B260" s="7" t="str">
        <f>HYPERLINK("https://twitter.com/cecilionieto54","@cecilionieto54")</f>
        <v>@cecilionieto54</v>
      </c>
      <c r="C260" s="8" t="s">
        <v>1090</v>
      </c>
      <c r="D260" s="9" t="s">
        <v>45</v>
      </c>
      <c r="E260" s="10" t="str">
        <f>HYPERLINK("https://twitter.com/cecilionieto54/status/1065862570505064450","1065862570505064450")</f>
        <v>1065862570505064450</v>
      </c>
      <c r="F260" s="11" t="s">
        <v>47</v>
      </c>
      <c r="G260" s="12"/>
      <c r="H260" s="12"/>
      <c r="I260" s="13">
        <v>0</v>
      </c>
      <c r="J260" s="13">
        <v>0</v>
      </c>
      <c r="K260" s="14" t="str">
        <f>HYPERLINK("http://twitter.com","Twitter Web Client")</f>
        <v>Twitter Web Client</v>
      </c>
      <c r="L260" s="13">
        <v>294</v>
      </c>
      <c r="M260" s="13">
        <v>875</v>
      </c>
      <c r="N260" s="13">
        <v>2</v>
      </c>
      <c r="O260" s="15"/>
      <c r="P260" s="6">
        <v>40756.46665509259</v>
      </c>
      <c r="Q260" s="17" t="s">
        <v>29</v>
      </c>
      <c r="R260" s="16" t="s">
        <v>1091</v>
      </c>
      <c r="S260" s="11" t="s">
        <v>1092</v>
      </c>
      <c r="T260" s="12"/>
      <c r="U260" s="10" t="str">
        <f>HYPERLINK("https://pbs.twimg.com/profile_images/794966652576268289/rLcVhUVZ.jpg","View")</f>
        <v>View</v>
      </c>
    </row>
    <row r="261" spans="1:21" ht="20.399999999999999">
      <c r="A261" s="6">
        <v>43426.95417824074</v>
      </c>
      <c r="B261" s="7" t="str">
        <f>HYPERLINK("https://twitter.com/dmarinkny","@dmarinkny")</f>
        <v>@dmarinkny</v>
      </c>
      <c r="C261" s="8" t="s">
        <v>1093</v>
      </c>
      <c r="D261" s="9" t="s">
        <v>1094</v>
      </c>
      <c r="E261" s="10" t="str">
        <f>HYPERLINK("https://twitter.com/dmarinkny/status/1065861005748682752","1065861005748682752")</f>
        <v>1065861005748682752</v>
      </c>
      <c r="F261" s="11" t="s">
        <v>190</v>
      </c>
      <c r="G261" s="12"/>
      <c r="H261" s="12"/>
      <c r="I261" s="13">
        <v>0</v>
      </c>
      <c r="J261" s="13">
        <v>0</v>
      </c>
      <c r="K261" s="14" t="str">
        <f>HYPERLINK("http://twitter.com/download/android","Twitter for Android")</f>
        <v>Twitter for Android</v>
      </c>
      <c r="L261" s="13">
        <v>126</v>
      </c>
      <c r="M261" s="13">
        <v>415</v>
      </c>
      <c r="N261" s="13">
        <v>2</v>
      </c>
      <c r="O261" s="15"/>
      <c r="P261" s="6">
        <v>42035.188344907408</v>
      </c>
      <c r="Q261" s="12"/>
      <c r="R261" s="16" t="s">
        <v>1095</v>
      </c>
      <c r="S261" s="12"/>
      <c r="T261" s="12"/>
      <c r="U261" s="10" t="str">
        <f>HYPERLINK("https://pbs.twimg.com/profile_images/561692127223369728/IKhY_41u.jpeg","View")</f>
        <v>View</v>
      </c>
    </row>
    <row r="262" spans="1:21" ht="30.6">
      <c r="A262" s="6">
        <v>43426.953182870369</v>
      </c>
      <c r="B262" s="7" t="str">
        <f>HYPERLINK("https://twitter.com/FdoVicente","@FdoVicente")</f>
        <v>@FdoVicente</v>
      </c>
      <c r="C262" s="8" t="s">
        <v>1096</v>
      </c>
      <c r="D262" s="9" t="s">
        <v>1048</v>
      </c>
      <c r="E262" s="10" t="str">
        <f>HYPERLINK("https://twitter.com/FdoVicente/status/1065860644589760512","1065860644589760512")</f>
        <v>1065860644589760512</v>
      </c>
      <c r="F262" s="11" t="s">
        <v>1049</v>
      </c>
      <c r="G262" s="12"/>
      <c r="H262" s="12"/>
      <c r="I262" s="13">
        <v>0</v>
      </c>
      <c r="J262" s="13">
        <v>0</v>
      </c>
      <c r="K262" s="14" t="str">
        <f t="shared" ref="K262:K263" si="47">HYPERLINK("http://twitter.com","Twitter Web Client")</f>
        <v>Twitter Web Client</v>
      </c>
      <c r="L262" s="13">
        <v>1424</v>
      </c>
      <c r="M262" s="13">
        <v>969</v>
      </c>
      <c r="N262" s="13">
        <v>80</v>
      </c>
      <c r="O262" s="15"/>
      <c r="P262" s="6">
        <v>40632.105729166666</v>
      </c>
      <c r="Q262" s="12"/>
      <c r="R262" s="16" t="s">
        <v>1098</v>
      </c>
      <c r="S262" s="11" t="s">
        <v>1099</v>
      </c>
      <c r="T262" s="12"/>
      <c r="U262" s="10" t="str">
        <f>HYPERLINK("https://pbs.twimg.com/profile_images/1377304318/Fdo_Vicente.jpg","View")</f>
        <v>View</v>
      </c>
    </row>
    <row r="263" spans="1:21" ht="30.6">
      <c r="A263" s="6">
        <v>43426.951805555553</v>
      </c>
      <c r="B263" s="7" t="str">
        <f>HYPERLINK("https://twitter.com/ugtsellbytelbcn","@ugtsellbytelbcn")</f>
        <v>@ugtsellbytelbcn</v>
      </c>
      <c r="C263" s="8" t="s">
        <v>1102</v>
      </c>
      <c r="D263" s="9" t="s">
        <v>45</v>
      </c>
      <c r="E263" s="10" t="str">
        <f>HYPERLINK("https://twitter.com/ugtsellbytelbcn/status/1065860148038721536","1065860148038721536")</f>
        <v>1065860148038721536</v>
      </c>
      <c r="F263" s="11" t="s">
        <v>84</v>
      </c>
      <c r="G263" s="12"/>
      <c r="H263" s="12"/>
      <c r="I263" s="13">
        <v>0</v>
      </c>
      <c r="J263" s="13">
        <v>0</v>
      </c>
      <c r="K263" s="14" t="str">
        <f t="shared" si="47"/>
        <v>Twitter Web Client</v>
      </c>
      <c r="L263" s="13">
        <v>136</v>
      </c>
      <c r="M263" s="13">
        <v>173</v>
      </c>
      <c r="N263" s="13">
        <v>6</v>
      </c>
      <c r="O263" s="15"/>
      <c r="P263" s="6">
        <v>40555.064467592594</v>
      </c>
      <c r="Q263" s="17" t="s">
        <v>638</v>
      </c>
      <c r="R263" s="18"/>
      <c r="S263" s="11" t="s">
        <v>1103</v>
      </c>
      <c r="T263" s="12"/>
      <c r="U263" s="10" t="str">
        <f>HYPERLINK("https://pbs.twimg.com/profile_images/1905578617/ugt-sbt.jpg","View")</f>
        <v>View</v>
      </c>
    </row>
    <row r="264" spans="1:21" ht="40.799999999999997">
      <c r="A264" s="6">
        <v>43426.948425925926</v>
      </c>
      <c r="B264" s="7" t="str">
        <f>HYPERLINK("https://twitter.com/p_marcote","@p_marcote")</f>
        <v>@p_marcote</v>
      </c>
      <c r="C264" s="8" t="s">
        <v>1104</v>
      </c>
      <c r="D264" s="9" t="s">
        <v>1105</v>
      </c>
      <c r="E264" s="10" t="str">
        <f>HYPERLINK("https://twitter.com/p_marcote/status/1065858922966409216","1065858922966409216")</f>
        <v>1065858922966409216</v>
      </c>
      <c r="F264" s="11" t="s">
        <v>47</v>
      </c>
      <c r="G264" s="12"/>
      <c r="H264" s="12"/>
      <c r="I264" s="13">
        <v>9</v>
      </c>
      <c r="J264" s="13">
        <v>8</v>
      </c>
      <c r="K264" s="14" t="str">
        <f>HYPERLINK("http://twitter.com/download/iphone","Twitter for iPhone")</f>
        <v>Twitter for iPhone</v>
      </c>
      <c r="L264" s="13">
        <v>9094</v>
      </c>
      <c r="M264" s="13">
        <v>2823</v>
      </c>
      <c r="N264" s="13">
        <v>147</v>
      </c>
      <c r="O264" s="15"/>
      <c r="P264" s="6">
        <v>40569.152615740742</v>
      </c>
      <c r="Q264" s="17" t="s">
        <v>1106</v>
      </c>
      <c r="R264" s="16" t="s">
        <v>1107</v>
      </c>
      <c r="S264" s="12"/>
      <c r="T264" s="12"/>
      <c r="U264" s="10" t="str">
        <f>HYPERLINK("https://pbs.twimg.com/profile_images/1059825524279832578/wCGJk13w.jpg","View")</f>
        <v>View</v>
      </c>
    </row>
    <row r="265" spans="1:21" ht="30.6">
      <c r="A265" s="6">
        <v>43426.947337962964</v>
      </c>
      <c r="B265" s="7" t="str">
        <f>HYPERLINK("https://twitter.com/Julianmendoza68","@Julianmendoza68")</f>
        <v>@Julianmendoza68</v>
      </c>
      <c r="C265" s="8" t="s">
        <v>1108</v>
      </c>
      <c r="D265" s="9" t="s">
        <v>45</v>
      </c>
      <c r="E265" s="10" t="str">
        <f>HYPERLINK("https://twitter.com/Julianmendoza68/status/1065858527535792128","1065858527535792128")</f>
        <v>1065858527535792128</v>
      </c>
      <c r="F265" s="11" t="s">
        <v>84</v>
      </c>
      <c r="G265" s="12"/>
      <c r="H265" s="12"/>
      <c r="I265" s="13">
        <v>0</v>
      </c>
      <c r="J265" s="13">
        <v>0</v>
      </c>
      <c r="K265" s="14" t="str">
        <f>HYPERLINK("http://twitter.com","Twitter Web Client")</f>
        <v>Twitter Web Client</v>
      </c>
      <c r="L265" s="13">
        <v>1304</v>
      </c>
      <c r="M265" s="13">
        <v>2209</v>
      </c>
      <c r="N265" s="13">
        <v>18</v>
      </c>
      <c r="O265" s="15"/>
      <c r="P265" s="6">
        <v>40498.20857638889</v>
      </c>
      <c r="Q265" s="17" t="s">
        <v>1110</v>
      </c>
      <c r="R265" s="16" t="s">
        <v>1111</v>
      </c>
      <c r="S265" s="12"/>
      <c r="T265" s="12"/>
      <c r="U265" s="10" t="str">
        <f>HYPERLINK("https://pbs.twimg.com/profile_images/674863140975284224/O97hj5Nf.jpg","View")</f>
        <v>View</v>
      </c>
    </row>
    <row r="266" spans="1:21" ht="51">
      <c r="A266" s="6">
        <v>43426.945347222223</v>
      </c>
      <c r="B266" s="7" t="str">
        <f>HYPERLINK("https://twitter.com/chamademesimbad","@chamademesimbad")</f>
        <v>@chamademesimbad</v>
      </c>
      <c r="C266" s="8" t="s">
        <v>1069</v>
      </c>
      <c r="D266" s="9" t="s">
        <v>1113</v>
      </c>
      <c r="E266" s="10" t="str">
        <f>HYPERLINK("https://twitter.com/chamademesimbad/status/1065857808858562560","1065857808858562560")</f>
        <v>1065857808858562560</v>
      </c>
      <c r="F266" s="12"/>
      <c r="G266" s="12"/>
      <c r="H266" s="12"/>
      <c r="I266" s="13">
        <v>14</v>
      </c>
      <c r="J266" s="13">
        <v>26</v>
      </c>
      <c r="K266" s="14" t="str">
        <f t="shared" ref="K266:K267" si="48">HYPERLINK("http://twitter.com/download/android","Twitter for Android")</f>
        <v>Twitter for Android</v>
      </c>
      <c r="L266" s="13">
        <v>7192</v>
      </c>
      <c r="M266" s="13">
        <v>6204</v>
      </c>
      <c r="N266" s="13">
        <v>152</v>
      </c>
      <c r="O266" s="15"/>
      <c r="P266" s="6">
        <v>39991.148506944446</v>
      </c>
      <c r="Q266" s="17" t="s">
        <v>1071</v>
      </c>
      <c r="R266" s="16" t="s">
        <v>1072</v>
      </c>
      <c r="S266" s="11" t="s">
        <v>1073</v>
      </c>
      <c r="T266" s="12"/>
      <c r="U266" s="10" t="str">
        <f>HYPERLINK("https://pbs.twimg.com/profile_images/812714590949769216/VYxnw7zT.jpg","View")</f>
        <v>View</v>
      </c>
    </row>
    <row r="267" spans="1:21" ht="51">
      <c r="A267" s="6">
        <v>43426.9449537037</v>
      </c>
      <c r="B267" s="7" t="str">
        <f t="shared" ref="B267:B268" si="49">HYPERLINK("https://twitter.com/Sinoquieresque","@Sinoquieresque")</f>
        <v>@Sinoquieresque</v>
      </c>
      <c r="C267" s="8" t="s">
        <v>1114</v>
      </c>
      <c r="D267" s="9" t="s">
        <v>1115</v>
      </c>
      <c r="E267" s="10" t="str">
        <f>HYPERLINK("https://twitter.com/Sinoquieresque/status/1065857665220399104","1065857665220399104")</f>
        <v>1065857665220399104</v>
      </c>
      <c r="F267" s="11" t="s">
        <v>1116</v>
      </c>
      <c r="G267" s="12"/>
      <c r="H267" s="12"/>
      <c r="I267" s="13">
        <v>1</v>
      </c>
      <c r="J267" s="13">
        <v>0</v>
      </c>
      <c r="K267" s="14" t="str">
        <f t="shared" si="48"/>
        <v>Twitter for Android</v>
      </c>
      <c r="L267" s="13">
        <v>562</v>
      </c>
      <c r="M267" s="13">
        <v>538</v>
      </c>
      <c r="N267" s="13">
        <v>9</v>
      </c>
      <c r="O267" s="15"/>
      <c r="P267" s="6">
        <v>42372.177534722221</v>
      </c>
      <c r="Q267" s="12"/>
      <c r="R267" s="16" t="s">
        <v>1117</v>
      </c>
      <c r="S267" s="12"/>
      <c r="T267" s="12"/>
      <c r="U267" s="10" t="str">
        <f t="shared" ref="U267:U268" si="50">HYPERLINK("https://pbs.twimg.com/profile_images/753708072841965568/eoI6-kkH.jpg","View")</f>
        <v>View</v>
      </c>
    </row>
    <row r="268" spans="1:21" ht="51">
      <c r="A268" s="6">
        <v>43426.944652777776</v>
      </c>
      <c r="B268" s="7" t="str">
        <f t="shared" si="49"/>
        <v>@Sinoquieresque</v>
      </c>
      <c r="C268" s="8" t="s">
        <v>1114</v>
      </c>
      <c r="D268" s="9" t="s">
        <v>1118</v>
      </c>
      <c r="E268" s="10" t="str">
        <f>HYPERLINK("https://twitter.com/Sinoquieresque/status/1065857554532757504","1065857554532757504")</f>
        <v>1065857554532757504</v>
      </c>
      <c r="F268" s="11" t="s">
        <v>1116</v>
      </c>
      <c r="G268" s="12"/>
      <c r="H268" s="12"/>
      <c r="I268" s="13">
        <v>0</v>
      </c>
      <c r="J268" s="13">
        <v>0</v>
      </c>
      <c r="K268" s="14" t="str">
        <f>HYPERLINK("http://www.facebook.com/twitter","Facebook")</f>
        <v>Facebook</v>
      </c>
      <c r="L268" s="13">
        <v>562</v>
      </c>
      <c r="M268" s="13">
        <v>538</v>
      </c>
      <c r="N268" s="13">
        <v>9</v>
      </c>
      <c r="O268" s="15"/>
      <c r="P268" s="6">
        <v>42372.177534722221</v>
      </c>
      <c r="Q268" s="12"/>
      <c r="R268" s="16" t="s">
        <v>1117</v>
      </c>
      <c r="S268" s="12"/>
      <c r="T268" s="12"/>
      <c r="U268" s="10" t="str">
        <f t="shared" si="50"/>
        <v>View</v>
      </c>
    </row>
    <row r="269" spans="1:21" ht="61.2">
      <c r="A269" s="6">
        <v>43426.943981481483</v>
      </c>
      <c r="B269" s="7" t="str">
        <f>HYPERLINK("https://twitter.com/PlvsVltra126_1","@PlvsVltra126_1")</f>
        <v>@PlvsVltra126_1</v>
      </c>
      <c r="C269" s="8" t="s">
        <v>1119</v>
      </c>
      <c r="D269" s="9" t="s">
        <v>1120</v>
      </c>
      <c r="E269" s="10" t="str">
        <f>HYPERLINK("https://twitter.com/PlvsVltra126_1/status/1065857313251168256","1065857313251168256")</f>
        <v>1065857313251168256</v>
      </c>
      <c r="F269" s="12"/>
      <c r="G269" s="12"/>
      <c r="H269" s="12"/>
      <c r="I269" s="13">
        <v>0</v>
      </c>
      <c r="J269" s="13">
        <v>0</v>
      </c>
      <c r="K269" s="14" t="str">
        <f>HYPERLINK("http://twitter.com/download/iphone","Twitter for iPhone")</f>
        <v>Twitter for iPhone</v>
      </c>
      <c r="L269" s="13">
        <v>448</v>
      </c>
      <c r="M269" s="13">
        <v>437</v>
      </c>
      <c r="N269" s="13">
        <v>2</v>
      </c>
      <c r="O269" s="15"/>
      <c r="P269" s="6">
        <v>43285.380428240736</v>
      </c>
      <c r="Q269" s="12"/>
      <c r="R269" s="16" t="s">
        <v>1121</v>
      </c>
      <c r="S269" s="12"/>
      <c r="T269" s="12"/>
      <c r="U269" s="10" t="str">
        <f>HYPERLINK("https://pbs.twimg.com/profile_images/1025335328784216064/W7-kiSMB.jpg","View")</f>
        <v>View</v>
      </c>
    </row>
    <row r="270" spans="1:21" ht="40.799999999999997">
      <c r="A270" s="6">
        <v>43426.938726851848</v>
      </c>
      <c r="B270" s="7" t="str">
        <f>HYPERLINK("https://twitter.com/JoanComorera1","@JoanComorera1")</f>
        <v>@JoanComorera1</v>
      </c>
      <c r="C270" s="8" t="s">
        <v>1122</v>
      </c>
      <c r="D270" s="9" t="s">
        <v>1123</v>
      </c>
      <c r="E270" s="10" t="str">
        <f>HYPERLINK("https://twitter.com/JoanComorera1/status/1065855408168939521","1065855408168939521")</f>
        <v>1065855408168939521</v>
      </c>
      <c r="F270" s="11" t="s">
        <v>84</v>
      </c>
      <c r="G270" s="12"/>
      <c r="H270" s="12"/>
      <c r="I270" s="13">
        <v>0</v>
      </c>
      <c r="J270" s="13">
        <v>1</v>
      </c>
      <c r="K270" s="14" t="str">
        <f>HYPERLINK("http://twitter.com","Twitter Web Client")</f>
        <v>Twitter Web Client</v>
      </c>
      <c r="L270" s="13">
        <v>5507</v>
      </c>
      <c r="M270" s="13">
        <v>2848</v>
      </c>
      <c r="N270" s="13">
        <v>124</v>
      </c>
      <c r="O270" s="19" t="s">
        <v>74</v>
      </c>
      <c r="P270" s="6">
        <v>40654.146932870368</v>
      </c>
      <c r="Q270" s="17" t="s">
        <v>1124</v>
      </c>
      <c r="R270" s="16" t="s">
        <v>1126</v>
      </c>
      <c r="S270" s="11" t="s">
        <v>1127</v>
      </c>
      <c r="T270" s="12"/>
      <c r="U270" s="10" t="str">
        <f>HYPERLINK("https://pbs.twimg.com/profile_images/875638482827214852/z2P3XVeE.jpg","View")</f>
        <v>View</v>
      </c>
    </row>
    <row r="271" spans="1:21" ht="40.799999999999997">
      <c r="A271" s="6">
        <v>43426.938356481478</v>
      </c>
      <c r="B271" s="7" t="str">
        <f>HYPERLINK("https://twitter.com/maxalvareztever","@maxalvareztever")</f>
        <v>@maxalvareztever</v>
      </c>
      <c r="C271" s="8" t="s">
        <v>1128</v>
      </c>
      <c r="D271" s="9" t="s">
        <v>1129</v>
      </c>
      <c r="E271" s="10" t="str">
        <f>HYPERLINK("https://twitter.com/maxalvareztever/status/1065855274249084928","1065855274249084928")</f>
        <v>1065855274249084928</v>
      </c>
      <c r="F271" s="11" t="s">
        <v>42</v>
      </c>
      <c r="G271" s="12"/>
      <c r="H271" s="12"/>
      <c r="I271" s="13">
        <v>0</v>
      </c>
      <c r="J271" s="13">
        <v>0</v>
      </c>
      <c r="K271" s="14" t="str">
        <f>HYPERLINK("http://www.facebook.com/twitter","Facebook")</f>
        <v>Facebook</v>
      </c>
      <c r="L271" s="13">
        <v>949</v>
      </c>
      <c r="M271" s="13">
        <v>1953</v>
      </c>
      <c r="N271" s="13">
        <v>15</v>
      </c>
      <c r="O271" s="15"/>
      <c r="P271" s="6">
        <v>40562.500914351855</v>
      </c>
      <c r="Q271" s="17" t="s">
        <v>1130</v>
      </c>
      <c r="R271" s="16" t="s">
        <v>1131</v>
      </c>
      <c r="S271" s="12"/>
      <c r="T271" s="12"/>
      <c r="U271" s="10" t="str">
        <f>HYPERLINK("https://pbs.twimg.com/profile_images/1713837472/DSC_0178-2.jpg","View")</f>
        <v>View</v>
      </c>
    </row>
    <row r="272" spans="1:21" ht="30.6">
      <c r="A272" s="6">
        <v>43426.936319444445</v>
      </c>
      <c r="B272" s="7" t="str">
        <f>HYPERLINK("https://twitter.com/AnaMaraCrespo","@AnaMaraCrespo")</f>
        <v>@AnaMaraCrespo</v>
      </c>
      <c r="C272" s="8" t="s">
        <v>1132</v>
      </c>
      <c r="D272" s="9" t="s">
        <v>45</v>
      </c>
      <c r="E272" s="10" t="str">
        <f>HYPERLINK("https://twitter.com/AnaMaraCrespo/status/1065854536705863686","1065854536705863686")</f>
        <v>1065854536705863686</v>
      </c>
      <c r="F272" s="11" t="s">
        <v>47</v>
      </c>
      <c r="G272" s="12"/>
      <c r="H272" s="12"/>
      <c r="I272" s="13">
        <v>0</v>
      </c>
      <c r="J272" s="13">
        <v>0</v>
      </c>
      <c r="K272" s="14" t="str">
        <f>HYPERLINK("http://twitter.com","Twitter Web Client")</f>
        <v>Twitter Web Client</v>
      </c>
      <c r="L272" s="13">
        <v>413</v>
      </c>
      <c r="M272" s="13">
        <v>900</v>
      </c>
      <c r="N272" s="13">
        <v>16</v>
      </c>
      <c r="O272" s="15"/>
      <c r="P272" s="6">
        <v>40732.380902777775</v>
      </c>
      <c r="Q272" s="17" t="s">
        <v>76</v>
      </c>
      <c r="R272" s="27">
        <v>43167</v>
      </c>
      <c r="S272" s="12"/>
      <c r="T272" s="12"/>
      <c r="U272" s="10" t="str">
        <f>HYPERLINK("https://pbs.twimg.com/profile_images/706277068091293696/RonSd5fK.jpg","View")</f>
        <v>View</v>
      </c>
    </row>
    <row r="273" spans="1:21" ht="40.799999999999997">
      <c r="A273" s="6">
        <v>43426.930335648147</v>
      </c>
      <c r="B273" s="7" t="str">
        <f>HYPERLINK("https://twitter.com/RepublicCatala","@RepublicCatala")</f>
        <v>@RepublicCatala</v>
      </c>
      <c r="C273" s="8" t="s">
        <v>1133</v>
      </c>
      <c r="D273" s="9" t="s">
        <v>1134</v>
      </c>
      <c r="E273" s="10" t="str">
        <f>HYPERLINK("https://twitter.com/RepublicCatala/status/1065852366984028161","1065852366984028161")</f>
        <v>1065852366984028161</v>
      </c>
      <c r="F273" s="11" t="s">
        <v>292</v>
      </c>
      <c r="G273" s="12"/>
      <c r="H273" s="12"/>
      <c r="I273" s="13">
        <v>1</v>
      </c>
      <c r="J273" s="13">
        <v>0</v>
      </c>
      <c r="K273" s="14" t="str">
        <f>HYPERLINK("http://twitter.com/download/android","Twitter for Android")</f>
        <v>Twitter for Android</v>
      </c>
      <c r="L273" s="13">
        <v>8019</v>
      </c>
      <c r="M273" s="13">
        <v>6988</v>
      </c>
      <c r="N273" s="13">
        <v>18</v>
      </c>
      <c r="O273" s="15"/>
      <c r="P273" s="6">
        <v>43010.442974537036</v>
      </c>
      <c r="Q273" s="17" t="s">
        <v>1135</v>
      </c>
      <c r="R273" s="16" t="s">
        <v>1136</v>
      </c>
      <c r="S273" s="11" t="s">
        <v>275</v>
      </c>
      <c r="T273" s="12"/>
      <c r="U273" s="10" t="str">
        <f>HYPERLINK("https://pbs.twimg.com/profile_images/1051941605404540928/6t8hWtEM.jpg","View")</f>
        <v>View</v>
      </c>
    </row>
    <row r="274" spans="1:21" ht="20.399999999999999">
      <c r="A274" s="6">
        <v>43426.922094907408</v>
      </c>
      <c r="B274" s="7" t="str">
        <f>HYPERLINK("https://twitter.com/Cuasor","@Cuasor")</f>
        <v>@Cuasor</v>
      </c>
      <c r="C274" s="8" t="s">
        <v>1137</v>
      </c>
      <c r="D274" s="9" t="s">
        <v>41</v>
      </c>
      <c r="E274" s="10" t="str">
        <f>HYPERLINK("https://twitter.com/Cuasor/status/1065849381822349312","1065849381822349312")</f>
        <v>1065849381822349312</v>
      </c>
      <c r="F274" s="11" t="s">
        <v>42</v>
      </c>
      <c r="G274" s="12"/>
      <c r="H274" s="12"/>
      <c r="I274" s="13">
        <v>0</v>
      </c>
      <c r="J274" s="13">
        <v>0</v>
      </c>
      <c r="K274" s="14" t="str">
        <f>HYPERLINK("http://tapbots.com/tweetbot","Tweetbot for iΟS")</f>
        <v>Tweetbot for iΟS</v>
      </c>
      <c r="L274" s="13">
        <v>163</v>
      </c>
      <c r="M274" s="13">
        <v>553</v>
      </c>
      <c r="N274" s="13">
        <v>4</v>
      </c>
      <c r="O274" s="15"/>
      <c r="P274" s="6">
        <v>40132.454560185186</v>
      </c>
      <c r="Q274" s="12"/>
      <c r="R274" s="18"/>
      <c r="S274" s="12"/>
      <c r="T274" s="12"/>
      <c r="U274" s="10" t="str">
        <f>HYPERLINK("https://pbs.twimg.com/profile_images/948658949234089987/qjXZdpWp.jpg","View")</f>
        <v>View</v>
      </c>
    </row>
    <row r="275" spans="1:21" ht="30.6">
      <c r="A275" s="6">
        <v>43426.921365740738</v>
      </c>
      <c r="B275" s="7" t="str">
        <f t="shared" ref="B275:B276" si="51">HYPERLINK("https://twitter.com/miguelcanabal","@miguelcanabal")</f>
        <v>@miguelcanabal</v>
      </c>
      <c r="C275" s="8" t="s">
        <v>925</v>
      </c>
      <c r="D275" s="9" t="s">
        <v>45</v>
      </c>
      <c r="E275" s="10" t="str">
        <f>HYPERLINK("https://twitter.com/miguelcanabal/status/1065849114640949248","1065849114640949248")</f>
        <v>1065849114640949248</v>
      </c>
      <c r="F275" s="11" t="s">
        <v>84</v>
      </c>
      <c r="G275" s="12"/>
      <c r="H275" s="12"/>
      <c r="I275" s="13">
        <v>0</v>
      </c>
      <c r="J275" s="13">
        <v>0</v>
      </c>
      <c r="K275" s="14" t="str">
        <f t="shared" ref="K275:K276" si="52">HYPERLINK("http://twitter.com","Twitter Web Client")</f>
        <v>Twitter Web Client</v>
      </c>
      <c r="L275" s="13">
        <v>1381</v>
      </c>
      <c r="M275" s="13">
        <v>805</v>
      </c>
      <c r="N275" s="13">
        <v>23</v>
      </c>
      <c r="O275" s="15"/>
      <c r="P275" s="6">
        <v>41549.478263888886</v>
      </c>
      <c r="Q275" s="17" t="s">
        <v>929</v>
      </c>
      <c r="R275" s="16" t="s">
        <v>930</v>
      </c>
      <c r="S275" s="12"/>
      <c r="T275" s="12"/>
      <c r="U275" s="10" t="str">
        <f t="shared" ref="U275:U276" si="53">HYPERLINK("https://pbs.twimg.com/profile_images/378800000539186970/2a820c480335778b08c57ba3f2926cb0.jpeg","View")</f>
        <v>View</v>
      </c>
    </row>
    <row r="276" spans="1:21" ht="30.6">
      <c r="A276" s="6">
        <v>43426.919340277775</v>
      </c>
      <c r="B276" s="7" t="str">
        <f t="shared" si="51"/>
        <v>@miguelcanabal</v>
      </c>
      <c r="C276" s="8" t="s">
        <v>925</v>
      </c>
      <c r="D276" s="9" t="s">
        <v>926</v>
      </c>
      <c r="E276" s="10" t="str">
        <f>HYPERLINK("https://twitter.com/miguelcanabal/status/1065848382395170816","1065848382395170816")</f>
        <v>1065848382395170816</v>
      </c>
      <c r="F276" s="12"/>
      <c r="G276" s="11" t="s">
        <v>928</v>
      </c>
      <c r="H276" s="12"/>
      <c r="I276" s="13">
        <v>0</v>
      </c>
      <c r="J276" s="13">
        <v>0</v>
      </c>
      <c r="K276" s="14" t="str">
        <f t="shared" si="52"/>
        <v>Twitter Web Client</v>
      </c>
      <c r="L276" s="13">
        <v>1381</v>
      </c>
      <c r="M276" s="13">
        <v>805</v>
      </c>
      <c r="N276" s="13">
        <v>23</v>
      </c>
      <c r="O276" s="15"/>
      <c r="P276" s="6">
        <v>41549.478263888886</v>
      </c>
      <c r="Q276" s="17" t="s">
        <v>929</v>
      </c>
      <c r="R276" s="16" t="s">
        <v>930</v>
      </c>
      <c r="S276" s="12"/>
      <c r="T276" s="12"/>
      <c r="U276" s="10" t="str">
        <f t="shared" si="53"/>
        <v>View</v>
      </c>
    </row>
    <row r="277" spans="1:21" ht="30.6">
      <c r="A277" s="6">
        <v>43426.916828703703</v>
      </c>
      <c r="B277" s="7" t="str">
        <f>HYPERLINK("https://twitter.com/Cambio16","@Cambio16")</f>
        <v>@Cambio16</v>
      </c>
      <c r="C277" s="8" t="s">
        <v>953</v>
      </c>
      <c r="D277" s="9" t="s">
        <v>1138</v>
      </c>
      <c r="E277" s="10" t="str">
        <f>HYPERLINK("https://twitter.com/Cambio16/status/1065847473296601088","1065847473296601088")</f>
        <v>1065847473296601088</v>
      </c>
      <c r="F277" s="11" t="s">
        <v>1139</v>
      </c>
      <c r="G277" s="11" t="s">
        <v>1140</v>
      </c>
      <c r="H277" s="12"/>
      <c r="I277" s="13">
        <v>0</v>
      </c>
      <c r="J277" s="13">
        <v>0</v>
      </c>
      <c r="K277" s="14" t="str">
        <f>HYPERLINK("https://www.hootsuite.com","Hootsuite Inc.")</f>
        <v>Hootsuite Inc.</v>
      </c>
      <c r="L277" s="13">
        <v>17345</v>
      </c>
      <c r="M277" s="13">
        <v>765</v>
      </c>
      <c r="N277" s="13">
        <v>499</v>
      </c>
      <c r="O277" s="15"/>
      <c r="P277" s="6">
        <v>40341.117245370369</v>
      </c>
      <c r="Q277" s="17" t="s">
        <v>143</v>
      </c>
      <c r="R277" s="16" t="s">
        <v>958</v>
      </c>
      <c r="S277" s="11" t="s">
        <v>959</v>
      </c>
      <c r="T277" s="12"/>
      <c r="U277" s="10" t="str">
        <f>HYPERLINK("https://pbs.twimg.com/profile_images/1060221846208069632/vJfJ3_T5.jpg","View")</f>
        <v>View</v>
      </c>
    </row>
    <row r="278" spans="1:21" ht="40.799999999999997">
      <c r="A278" s="6">
        <v>43426.911215277782</v>
      </c>
      <c r="B278" s="7" t="str">
        <f>HYPERLINK("https://twitter.com/pollossincabeza","@pollossincabeza")</f>
        <v>@pollossincabeza</v>
      </c>
      <c r="C278" s="8" t="s">
        <v>1141</v>
      </c>
      <c r="D278" s="9" t="s">
        <v>1142</v>
      </c>
      <c r="E278" s="10" t="str">
        <f>HYPERLINK("https://twitter.com/pollossincabeza/status/1065845436714500096","1065845436714500096")</f>
        <v>1065845436714500096</v>
      </c>
      <c r="F278" s="11" t="s">
        <v>1143</v>
      </c>
      <c r="G278" s="12"/>
      <c r="H278" s="12"/>
      <c r="I278" s="13">
        <v>0</v>
      </c>
      <c r="J278" s="13">
        <v>0</v>
      </c>
      <c r="K278" s="14" t="str">
        <f>HYPERLINK("https://ifttt.com","IFTTT")</f>
        <v>IFTTT</v>
      </c>
      <c r="L278" s="13">
        <v>1277</v>
      </c>
      <c r="M278" s="13">
        <v>793</v>
      </c>
      <c r="N278" s="13">
        <v>48</v>
      </c>
      <c r="O278" s="15"/>
      <c r="P278" s="6">
        <v>40838.093773148146</v>
      </c>
      <c r="Q278" s="17" t="s">
        <v>143</v>
      </c>
      <c r="R278" s="16" t="s">
        <v>1145</v>
      </c>
      <c r="S278" s="11" t="s">
        <v>1146</v>
      </c>
      <c r="T278" s="12"/>
      <c r="U278" s="10" t="str">
        <f>HYPERLINK("https://pbs.twimg.com/profile_images/1702897548/1o7IpdWx","View")</f>
        <v>View</v>
      </c>
    </row>
    <row r="279" spans="1:21" ht="51">
      <c r="A279" s="6">
        <v>43426.906759259262</v>
      </c>
      <c r="B279" s="7" t="str">
        <f>HYPERLINK("https://twitter.com/marmenor2016","@marmenor2016")</f>
        <v>@marmenor2016</v>
      </c>
      <c r="C279" s="8" t="s">
        <v>1125</v>
      </c>
      <c r="D279" s="9" t="s">
        <v>1147</v>
      </c>
      <c r="E279" s="10" t="str">
        <f>HYPERLINK("https://twitter.com/marmenor2016/status/1065843821974560768","1065843821974560768")</f>
        <v>1065843821974560768</v>
      </c>
      <c r="F279" s="11" t="s">
        <v>292</v>
      </c>
      <c r="G279" s="12"/>
      <c r="H279" s="12"/>
      <c r="I279" s="13">
        <v>0</v>
      </c>
      <c r="J279" s="13">
        <v>0</v>
      </c>
      <c r="K279" s="14" t="str">
        <f>HYPERLINK("http://twitter.com/download/android","Twitter for Android")</f>
        <v>Twitter for Android</v>
      </c>
      <c r="L279" s="13">
        <v>312</v>
      </c>
      <c r="M279" s="13">
        <v>691</v>
      </c>
      <c r="N279" s="13">
        <v>1</v>
      </c>
      <c r="O279" s="15"/>
      <c r="P279" s="6">
        <v>42636.124120370368</v>
      </c>
      <c r="Q279" s="12"/>
      <c r="R279" s="16" t="s">
        <v>1150</v>
      </c>
      <c r="S279" s="12"/>
      <c r="T279" s="12"/>
      <c r="U279" s="10" t="str">
        <f>HYPERLINK("https://pbs.twimg.com/profile_images/779543593610534912/pe7bXH-6.jpg","View")</f>
        <v>View</v>
      </c>
    </row>
    <row r="280" spans="1:21" ht="40.799999999999997">
      <c r="A280" s="6">
        <v>43426.902384259258</v>
      </c>
      <c r="B280" s="7" t="str">
        <f>HYPERLINK("https://twitter.com/s_simplicisimus","@s_simplicisimus")</f>
        <v>@s_simplicisimus</v>
      </c>
      <c r="C280" s="8" t="s">
        <v>1151</v>
      </c>
      <c r="D280" s="9" t="s">
        <v>1152</v>
      </c>
      <c r="E280" s="10" t="str">
        <f>HYPERLINK("https://twitter.com/s_simplicisimus/status/1065842235990786049","1065842235990786049")</f>
        <v>1065842235990786049</v>
      </c>
      <c r="F280" s="11" t="s">
        <v>292</v>
      </c>
      <c r="G280" s="12"/>
      <c r="H280" s="12"/>
      <c r="I280" s="13">
        <v>0</v>
      </c>
      <c r="J280" s="13">
        <v>1</v>
      </c>
      <c r="K280" s="14" t="str">
        <f>HYPERLINK("http://twitter.com/download/iphone","Twitter for iPhone")</f>
        <v>Twitter for iPhone</v>
      </c>
      <c r="L280" s="13">
        <v>81</v>
      </c>
      <c r="M280" s="13">
        <v>178</v>
      </c>
      <c r="N280" s="13">
        <v>5</v>
      </c>
      <c r="O280" s="15"/>
      <c r="P280" s="6">
        <v>41286.472685185188</v>
      </c>
      <c r="Q280" s="17" t="s">
        <v>1153</v>
      </c>
      <c r="R280" s="16" t="s">
        <v>1154</v>
      </c>
      <c r="S280" s="12"/>
      <c r="T280" s="12"/>
      <c r="U280" s="10" t="str">
        <f>HYPERLINK("https://pbs.twimg.com/profile_images/480965362000093184/X2k_9wG1.jpeg","View")</f>
        <v>View</v>
      </c>
    </row>
    <row r="281" spans="1:21" ht="30.6">
      <c r="A281" s="6">
        <v>43426.89979166667</v>
      </c>
      <c r="B281" s="7" t="str">
        <f>HYPERLINK("https://twitter.com/clamorsegovia","@clamorsegovia")</f>
        <v>@clamorsegovia</v>
      </c>
      <c r="C281" s="8" t="s">
        <v>1155</v>
      </c>
      <c r="D281" s="9" t="s">
        <v>1048</v>
      </c>
      <c r="E281" s="10" t="str">
        <f>HYPERLINK("https://twitter.com/clamorsegovia/status/1065841298752581632","1065841298752581632")</f>
        <v>1065841298752581632</v>
      </c>
      <c r="F281" s="11" t="s">
        <v>1049</v>
      </c>
      <c r="G281" s="12"/>
      <c r="H281" s="12"/>
      <c r="I281" s="13">
        <v>0</v>
      </c>
      <c r="J281" s="13">
        <v>0</v>
      </c>
      <c r="K281" s="14" t="str">
        <f t="shared" ref="K281:K282" si="54">HYPERLINK("http://twitter.com/download/android","Twitter for Android")</f>
        <v>Twitter for Android</v>
      </c>
      <c r="L281" s="13">
        <v>2720</v>
      </c>
      <c r="M281" s="13">
        <v>1715</v>
      </c>
      <c r="N281" s="13">
        <v>44</v>
      </c>
      <c r="O281" s="15"/>
      <c r="P281" s="6">
        <v>40615.067974537036</v>
      </c>
      <c r="Q281" s="17" t="s">
        <v>76</v>
      </c>
      <c r="R281" s="16" t="s">
        <v>1156</v>
      </c>
      <c r="S281" s="11" t="s">
        <v>1157</v>
      </c>
      <c r="T281" s="12"/>
      <c r="U281" s="10" t="str">
        <f>HYPERLINK("https://pbs.twimg.com/profile_images/1055051697536622592/sYsCmnMN.jpg","View")</f>
        <v>View</v>
      </c>
    </row>
    <row r="282" spans="1:21" ht="40.799999999999997">
      <c r="A282" s="6">
        <v>43426.899050925931</v>
      </c>
      <c r="B282" s="7" t="str">
        <f>HYPERLINK("https://twitter.com/Mostandiella","@Mostandiella")</f>
        <v>@Mostandiella</v>
      </c>
      <c r="C282" s="8" t="s">
        <v>1158</v>
      </c>
      <c r="D282" s="9" t="s">
        <v>1159</v>
      </c>
      <c r="E282" s="10" t="str">
        <f>HYPERLINK("https://twitter.com/Mostandiella/status/1065841027779633154","1065841027779633154")</f>
        <v>1065841027779633154</v>
      </c>
      <c r="F282" s="11" t="s">
        <v>292</v>
      </c>
      <c r="G282" s="12"/>
      <c r="H282" s="12"/>
      <c r="I282" s="13">
        <v>0</v>
      </c>
      <c r="J282" s="13">
        <v>0</v>
      </c>
      <c r="K282" s="14" t="str">
        <f t="shared" si="54"/>
        <v>Twitter for Android</v>
      </c>
      <c r="L282" s="13">
        <v>511</v>
      </c>
      <c r="M282" s="13">
        <v>539</v>
      </c>
      <c r="N282" s="13">
        <v>15</v>
      </c>
      <c r="O282" s="15"/>
      <c r="P282" s="6">
        <v>42064.064293981486</v>
      </c>
      <c r="Q282" s="17" t="s">
        <v>216</v>
      </c>
      <c r="R282" s="16" t="s">
        <v>1160</v>
      </c>
      <c r="S282" s="12"/>
      <c r="T282" s="12"/>
      <c r="U282" s="10" t="str">
        <f>HYPERLINK("https://pbs.twimg.com/profile_images/979704845421699072/lrRmxxRE.jpg","View")</f>
        <v>View</v>
      </c>
    </row>
    <row r="283" spans="1:21" ht="20.399999999999999">
      <c r="A283" s="6">
        <v>43426.892777777779</v>
      </c>
      <c r="B283" s="7" t="str">
        <f>HYPERLINK("https://twitter.com/AsiEsValladolid","@AsiEsValladolid")</f>
        <v>@AsiEsValladolid</v>
      </c>
      <c r="C283" s="8" t="s">
        <v>1161</v>
      </c>
      <c r="D283" s="9" t="s">
        <v>1162</v>
      </c>
      <c r="E283" s="10" t="str">
        <f>HYPERLINK("https://twitter.com/AsiEsValladolid/status/1065838757008441344","1065838757008441344")</f>
        <v>1065838757008441344</v>
      </c>
      <c r="F283" s="11" t="s">
        <v>1163</v>
      </c>
      <c r="G283" s="11" t="s">
        <v>1164</v>
      </c>
      <c r="H283" s="12"/>
      <c r="I283" s="13">
        <v>0</v>
      </c>
      <c r="J283" s="13">
        <v>0</v>
      </c>
      <c r="K283" s="14" t="str">
        <f>HYPERLINK("https://dlvrit.com/","dlvr.it")</f>
        <v>dlvr.it</v>
      </c>
      <c r="L283" s="13">
        <v>1509</v>
      </c>
      <c r="M283" s="13">
        <v>864</v>
      </c>
      <c r="N283" s="13">
        <v>843</v>
      </c>
      <c r="O283" s="15"/>
      <c r="P283" s="6">
        <v>42025.458657407406</v>
      </c>
      <c r="Q283" s="17" t="s">
        <v>1165</v>
      </c>
      <c r="R283" s="16" t="s">
        <v>1166</v>
      </c>
      <c r="S283" s="12"/>
      <c r="T283" s="12"/>
      <c r="U283" s="10" t="str">
        <f>HYPERLINK("https://pbs.twimg.com/profile_images/557980662926295040/9YCZ5tOd.jpeg","View")</f>
        <v>View</v>
      </c>
    </row>
    <row r="284" spans="1:21" ht="30.6">
      <c r="A284" s="6">
        <v>43426.88989583333</v>
      </c>
      <c r="B284" s="7" t="str">
        <f>HYPERLINK("https://twitter.com/dferreiraorue","@dferreiraorue")</f>
        <v>@dferreiraorue</v>
      </c>
      <c r="C284" s="8" t="s">
        <v>1167</v>
      </c>
      <c r="D284" s="9" t="s">
        <v>1168</v>
      </c>
      <c r="E284" s="10" t="str">
        <f>HYPERLINK("https://twitter.com/dferreiraorue/status/1065837710991077376","1065837710991077376")</f>
        <v>1065837710991077376</v>
      </c>
      <c r="F284" s="11" t="s">
        <v>1169</v>
      </c>
      <c r="G284" s="12"/>
      <c r="H284" s="12"/>
      <c r="I284" s="13">
        <v>0</v>
      </c>
      <c r="J284" s="13">
        <v>0</v>
      </c>
      <c r="K284" s="14" t="str">
        <f>HYPERLINK("https://paper.li","Paper.li")</f>
        <v>Paper.li</v>
      </c>
      <c r="L284" s="13">
        <v>342</v>
      </c>
      <c r="M284" s="13">
        <v>294</v>
      </c>
      <c r="N284" s="13">
        <v>28</v>
      </c>
      <c r="O284" s="15"/>
      <c r="P284" s="6">
        <v>41431.552453703705</v>
      </c>
      <c r="Q284" s="17" t="s">
        <v>1170</v>
      </c>
      <c r="R284" s="16" t="s">
        <v>1171</v>
      </c>
      <c r="S284" s="11" t="s">
        <v>1172</v>
      </c>
      <c r="T284" s="12"/>
      <c r="U284" s="10" t="str">
        <f>HYPERLINK("https://pbs.twimg.com/profile_images/811980688077557760/v9ja-kMr.jpg","View")</f>
        <v>View</v>
      </c>
    </row>
    <row r="285" spans="1:21" ht="30.6">
      <c r="A285" s="6">
        <v>43426.888645833329</v>
      </c>
      <c r="B285" s="7" t="str">
        <f>HYPERLINK("https://twitter.com/YamaYoshito_","@YamaYoshito_")</f>
        <v>@YamaYoshito_</v>
      </c>
      <c r="C285" s="8" t="s">
        <v>1173</v>
      </c>
      <c r="D285" s="9" t="s">
        <v>1174</v>
      </c>
      <c r="E285" s="10" t="str">
        <f>HYPERLINK("https://twitter.com/YamaYoshito_/status/1065837260770283520","1065837260770283520")</f>
        <v>1065837260770283520</v>
      </c>
      <c r="F285" s="12"/>
      <c r="G285" s="12"/>
      <c r="H285" s="12"/>
      <c r="I285" s="13">
        <v>0</v>
      </c>
      <c r="J285" s="13">
        <v>0</v>
      </c>
      <c r="K285" s="14" t="str">
        <f>HYPERLINK("http://twitter.com/download/android","Twitter for Android")</f>
        <v>Twitter for Android</v>
      </c>
      <c r="L285" s="13">
        <v>371</v>
      </c>
      <c r="M285" s="13">
        <v>1079</v>
      </c>
      <c r="N285" s="13">
        <v>13</v>
      </c>
      <c r="O285" s="15"/>
      <c r="P285" s="6">
        <v>41152.550706018519</v>
      </c>
      <c r="Q285" s="17" t="s">
        <v>1175</v>
      </c>
      <c r="R285" s="16" t="s">
        <v>1176</v>
      </c>
      <c r="S285" s="11" t="s">
        <v>1177</v>
      </c>
      <c r="T285" s="12"/>
      <c r="U285" s="10" t="str">
        <f>HYPERLINK("https://pbs.twimg.com/profile_images/1065850351482544128/hm7mqkZv.jpg","View")</f>
        <v>View</v>
      </c>
    </row>
    <row r="286" spans="1:21" ht="71.400000000000006">
      <c r="A286" s="6">
        <v>43426.887280092589</v>
      </c>
      <c r="B286" s="7" t="str">
        <f>HYPERLINK("https://twitter.com/SemaVanaev","@SemaVanaev")</f>
        <v>@SemaVanaev</v>
      </c>
      <c r="C286" s="8" t="s">
        <v>1178</v>
      </c>
      <c r="D286" s="9" t="s">
        <v>1179</v>
      </c>
      <c r="E286" s="10" t="str">
        <f>HYPERLINK("https://twitter.com/SemaVanaev/status/1065836764785401857","1065836764785401857")</f>
        <v>1065836764785401857</v>
      </c>
      <c r="F286" s="11" t="s">
        <v>1180</v>
      </c>
      <c r="G286" s="11" t="s">
        <v>1181</v>
      </c>
      <c r="H286" s="12"/>
      <c r="I286" s="13">
        <v>0</v>
      </c>
      <c r="J286" s="13">
        <v>0</v>
      </c>
      <c r="K286" s="14" t="str">
        <f>HYPERLINK("https://dlvrit.com/","dlvr.it")</f>
        <v>dlvr.it</v>
      </c>
      <c r="L286" s="13">
        <v>4</v>
      </c>
      <c r="M286" s="13">
        <v>0</v>
      </c>
      <c r="N286" s="13">
        <v>0</v>
      </c>
      <c r="O286" s="15"/>
      <c r="P286" s="6">
        <v>42135.159212962964</v>
      </c>
      <c r="Q286" s="17" t="s">
        <v>1182</v>
      </c>
      <c r="R286" s="16" t="s">
        <v>1183</v>
      </c>
      <c r="S286" s="11" t="s">
        <v>1184</v>
      </c>
      <c r="T286" s="12"/>
      <c r="U286" s="10" t="str">
        <f>HYPERLINK("https://pbs.twimg.com/profile_images/802533464004317189/vEIkMC7f.jpg","View")</f>
        <v>View</v>
      </c>
    </row>
    <row r="287" spans="1:21" ht="40.799999999999997">
      <c r="A287" s="6">
        <v>43426.886122685188</v>
      </c>
      <c r="B287" s="7" t="str">
        <f>HYPERLINK("https://twitter.com/elnacionalcat_e","@elnacionalcat_e")</f>
        <v>@elnacionalcat_e</v>
      </c>
      <c r="C287" s="8" t="s">
        <v>776</v>
      </c>
      <c r="D287" s="9" t="s">
        <v>1185</v>
      </c>
      <c r="E287" s="10" t="str">
        <f>HYPERLINK("https://twitter.com/elnacionalcat_e/status/1065836343526285312","1065836343526285312")</f>
        <v>1065836343526285312</v>
      </c>
      <c r="F287" s="11" t="s">
        <v>1186</v>
      </c>
      <c r="G287" s="12"/>
      <c r="H287" s="12"/>
      <c r="I287" s="13">
        <v>0</v>
      </c>
      <c r="J287" s="13">
        <v>0</v>
      </c>
      <c r="K287" s="14" t="str">
        <f>HYPERLINK("https://about.twitter.com/products/tweetdeck","TweetDeck")</f>
        <v>TweetDeck</v>
      </c>
      <c r="L287" s="13">
        <v>5489</v>
      </c>
      <c r="M287" s="13">
        <v>355</v>
      </c>
      <c r="N287" s="13">
        <v>167</v>
      </c>
      <c r="O287" s="15"/>
      <c r="P287" s="6">
        <v>42247.465567129635</v>
      </c>
      <c r="Q287" s="17" t="s">
        <v>638</v>
      </c>
      <c r="R287" s="16" t="s">
        <v>778</v>
      </c>
      <c r="S287" s="11" t="s">
        <v>779</v>
      </c>
      <c r="T287" s="12"/>
      <c r="U287" s="10" t="str">
        <f>HYPERLINK("https://pbs.twimg.com/profile_images/646298514385960960/VEutSP7L.png","View")</f>
        <v>View</v>
      </c>
    </row>
    <row r="288" spans="1:21" ht="40.799999999999997">
      <c r="A288" s="6">
        <v>43426.880393518513</v>
      </c>
      <c r="B288" s="7" t="str">
        <f>HYPERLINK("https://twitter.com/joanmiquelm4","@joanmiquelm4")</f>
        <v>@joanmiquelm4</v>
      </c>
      <c r="C288" s="8" t="s">
        <v>1187</v>
      </c>
      <c r="D288" s="9" t="s">
        <v>1188</v>
      </c>
      <c r="E288" s="10" t="str">
        <f>HYPERLINK("https://twitter.com/joanmiquelm4/status/1065834269002612736","1065834269002612736")</f>
        <v>1065834269002612736</v>
      </c>
      <c r="F288" s="17" t="s">
        <v>720</v>
      </c>
      <c r="G288" s="12"/>
      <c r="H288" s="12"/>
      <c r="I288" s="13">
        <v>0</v>
      </c>
      <c r="J288" s="13">
        <v>0</v>
      </c>
      <c r="K288" s="14" t="str">
        <f>HYPERLINK("http://twitter.com/download/android","Twitter for Android")</f>
        <v>Twitter for Android</v>
      </c>
      <c r="L288" s="13">
        <v>186</v>
      </c>
      <c r="M288" s="13">
        <v>250</v>
      </c>
      <c r="N288" s="13">
        <v>22</v>
      </c>
      <c r="O288" s="15"/>
      <c r="P288" s="6">
        <v>41963.335092592592</v>
      </c>
      <c r="Q288" s="12"/>
      <c r="R288" s="16" t="s">
        <v>1189</v>
      </c>
      <c r="S288" s="12"/>
      <c r="T288" s="12"/>
      <c r="U288" s="10" t="str">
        <f>HYPERLINK("https://pbs.twimg.com/profile_images/535464079948017666/sd81e-bA.jpeg","View")</f>
        <v>View</v>
      </c>
    </row>
    <row r="289" spans="1:21" ht="30.6">
      <c r="A289" s="6">
        <v>43426.853414351848</v>
      </c>
      <c r="B289" s="7" t="str">
        <f>HYPERLINK("https://twitter.com/Elviragarzon","@Elviragarzon")</f>
        <v>@Elviragarzon</v>
      </c>
      <c r="C289" s="8" t="s">
        <v>1190</v>
      </c>
      <c r="D289" s="9" t="s">
        <v>45</v>
      </c>
      <c r="E289" s="10" t="str">
        <f>HYPERLINK("https://twitter.com/Elviragarzon/status/1065824489777373185","1065824489777373185")</f>
        <v>1065824489777373185</v>
      </c>
      <c r="F289" s="11" t="s">
        <v>47</v>
      </c>
      <c r="G289" s="12"/>
      <c r="H289" s="12"/>
      <c r="I289" s="13">
        <v>0</v>
      </c>
      <c r="J289" s="13">
        <v>0</v>
      </c>
      <c r="K289" s="14" t="str">
        <f>HYPERLINK("http://twitter.com/download/iphone","Twitter for iPhone")</f>
        <v>Twitter for iPhone</v>
      </c>
      <c r="L289" s="13">
        <v>308</v>
      </c>
      <c r="M289" s="13">
        <v>562</v>
      </c>
      <c r="N289" s="13">
        <v>23</v>
      </c>
      <c r="O289" s="15"/>
      <c r="P289" s="6">
        <v>39953.431215277778</v>
      </c>
      <c r="Q289" s="17" t="s">
        <v>1191</v>
      </c>
      <c r="R289" s="18"/>
      <c r="S289" s="12"/>
      <c r="T289" s="12"/>
      <c r="U289" s="10" t="str">
        <f>HYPERLINK("https://pbs.twimg.com/profile_images/1093349656/41383_1329606464_8215_q.jpg","View")</f>
        <v>View</v>
      </c>
    </row>
    <row r="290" spans="1:21" ht="51">
      <c r="A290" s="6">
        <v>43426.777245370366</v>
      </c>
      <c r="B290" s="7" t="str">
        <f>HYPERLINK("https://twitter.com/JulianSiniestro","@JulianSiniestro")</f>
        <v>@JulianSiniestro</v>
      </c>
      <c r="C290" s="8" t="s">
        <v>1192</v>
      </c>
      <c r="D290" s="9" t="s">
        <v>1193</v>
      </c>
      <c r="E290" s="10" t="str">
        <f>HYPERLINK("https://twitter.com/JulianSiniestro/status/1065796889952563200","1065796889952563200")</f>
        <v>1065796889952563200</v>
      </c>
      <c r="F290" s="12"/>
      <c r="G290" s="12"/>
      <c r="H290" s="12"/>
      <c r="I290" s="13">
        <v>0</v>
      </c>
      <c r="J290" s="13">
        <v>13</v>
      </c>
      <c r="K290" s="14" t="str">
        <f>HYPERLINK("http://twitter.com","Twitter Web Client")</f>
        <v>Twitter Web Client</v>
      </c>
      <c r="L290" s="13">
        <v>18443</v>
      </c>
      <c r="M290" s="13">
        <v>1689</v>
      </c>
      <c r="N290" s="13">
        <v>318</v>
      </c>
      <c r="O290" s="15"/>
      <c r="P290" s="6">
        <v>40976.34646990741</v>
      </c>
      <c r="Q290" s="17" t="s">
        <v>1194</v>
      </c>
      <c r="R290" s="16" t="s">
        <v>1195</v>
      </c>
      <c r="S290" s="11" t="s">
        <v>1196</v>
      </c>
      <c r="T290" s="12"/>
      <c r="U290" s="10" t="str">
        <f>HYPERLINK("https://pbs.twimg.com/profile_images/3773982538/201e7a46a21f3dd34bd6aea0e7bea019.jpeg","View")</f>
        <v>View</v>
      </c>
    </row>
    <row r="291" spans="1:21" ht="81.599999999999994">
      <c r="A291" s="6">
        <v>43426.769513888888</v>
      </c>
      <c r="B291" s="7" t="str">
        <f>HYPERLINK("https://twitter.com/ocofqijx","@ocofqijx")</f>
        <v>@ocofqijx</v>
      </c>
      <c r="C291" s="8" t="s">
        <v>1197</v>
      </c>
      <c r="D291" s="9" t="s">
        <v>1198</v>
      </c>
      <c r="E291" s="10" t="str">
        <f>HYPERLINK("https://twitter.com/ocofqijx/status/1065794085460553728","1065794085460553728")</f>
        <v>1065794085460553728</v>
      </c>
      <c r="F291" s="11" t="s">
        <v>1199</v>
      </c>
      <c r="G291" s="12"/>
      <c r="H291" s="12"/>
      <c r="I291" s="13">
        <v>0</v>
      </c>
      <c r="J291" s="13">
        <v>0</v>
      </c>
      <c r="K291" s="14" t="str">
        <f>HYPERLINK("https://ifttt.com","IFTTT")</f>
        <v>IFTTT</v>
      </c>
      <c r="L291" s="13">
        <v>13</v>
      </c>
      <c r="M291" s="13">
        <v>0</v>
      </c>
      <c r="N291" s="13">
        <v>0</v>
      </c>
      <c r="O291" s="15"/>
      <c r="P291" s="6">
        <v>41887.585462962961</v>
      </c>
      <c r="Q291" s="17" t="s">
        <v>1197</v>
      </c>
      <c r="R291" s="16" t="s">
        <v>1200</v>
      </c>
      <c r="S291" s="11" t="s">
        <v>1201</v>
      </c>
      <c r="T291" s="12"/>
      <c r="U291" s="10" t="str">
        <f>HYPERLINK("https://pbs.twimg.com/profile_images/822477281046261761/FYYJjY9w.jpg","View")</f>
        <v>View</v>
      </c>
    </row>
    <row r="292" spans="1:21" ht="40.799999999999997">
      <c r="A292" s="6">
        <v>43426.739907407406</v>
      </c>
      <c r="B292" s="7" t="str">
        <f>HYPERLINK("https://twitter.com/JulianSiniestro","@JulianSiniestro")</f>
        <v>@JulianSiniestro</v>
      </c>
      <c r="C292" s="8" t="s">
        <v>1192</v>
      </c>
      <c r="D292" s="9" t="s">
        <v>1202</v>
      </c>
      <c r="E292" s="10" t="str">
        <f>HYPERLINK("https://twitter.com/JulianSiniestro/status/1065783358620401664","1065783358620401664")</f>
        <v>1065783358620401664</v>
      </c>
      <c r="F292" s="17" t="s">
        <v>1203</v>
      </c>
      <c r="G292" s="11" t="s">
        <v>1204</v>
      </c>
      <c r="H292" s="12"/>
      <c r="I292" s="13">
        <v>5</v>
      </c>
      <c r="J292" s="13">
        <v>7</v>
      </c>
      <c r="K292" s="14" t="str">
        <f>HYPERLINK("http://twitter.com","Twitter Web Client")</f>
        <v>Twitter Web Client</v>
      </c>
      <c r="L292" s="13">
        <v>18443</v>
      </c>
      <c r="M292" s="13">
        <v>1689</v>
      </c>
      <c r="N292" s="13">
        <v>318</v>
      </c>
      <c r="O292" s="15"/>
      <c r="P292" s="6">
        <v>40976.34646990741</v>
      </c>
      <c r="Q292" s="17" t="s">
        <v>1194</v>
      </c>
      <c r="R292" s="16" t="s">
        <v>1195</v>
      </c>
      <c r="S292" s="11" t="s">
        <v>1196</v>
      </c>
      <c r="T292" s="12"/>
      <c r="U292" s="10" t="str">
        <f>HYPERLINK("https://pbs.twimg.com/profile_images/3773982538/201e7a46a21f3dd34bd6aea0e7bea019.jpeg","View")</f>
        <v>View</v>
      </c>
    </row>
    <row r="293" spans="1:21" ht="91.8">
      <c r="A293" s="6">
        <v>43426.722951388889</v>
      </c>
      <c r="B293" s="7" t="str">
        <f>HYPERLINK("https://twitter.com/Jrmgonzalez","@Jrmgonzalez")</f>
        <v>@Jrmgonzalez</v>
      </c>
      <c r="C293" s="8" t="s">
        <v>986</v>
      </c>
      <c r="D293" s="9" t="s">
        <v>987</v>
      </c>
      <c r="E293" s="10" t="str">
        <f>HYPERLINK("https://twitter.com/Jrmgonzalez/status/1065777213096828928","1065777213096828928")</f>
        <v>1065777213096828928</v>
      </c>
      <c r="F293" s="11" t="s">
        <v>988</v>
      </c>
      <c r="G293" s="11" t="s">
        <v>989</v>
      </c>
      <c r="H293" s="12"/>
      <c r="I293" s="13">
        <v>1</v>
      </c>
      <c r="J293" s="13">
        <v>0</v>
      </c>
      <c r="K293" s="14" t="str">
        <f>HYPERLINK("http://twitter.com/download/iphone","Twitter for iPhone")</f>
        <v>Twitter for iPhone</v>
      </c>
      <c r="L293" s="13">
        <v>32</v>
      </c>
      <c r="M293" s="13">
        <v>265</v>
      </c>
      <c r="N293" s="13">
        <v>2</v>
      </c>
      <c r="O293" s="15"/>
      <c r="P293" s="6">
        <v>41696.188379629632</v>
      </c>
      <c r="Q293" s="17" t="s">
        <v>991</v>
      </c>
      <c r="R293" s="16" t="s">
        <v>992</v>
      </c>
      <c r="S293" s="12"/>
      <c r="T293" s="12"/>
      <c r="U293" s="10" t="str">
        <f>HYPERLINK("https://pbs.twimg.com/profile_images/951188977960222721/P3ZmIVlt.jpg","View")</f>
        <v>View</v>
      </c>
    </row>
    <row r="294" spans="1:21" ht="40.799999999999997">
      <c r="A294" s="6">
        <v>43426.710451388892</v>
      </c>
      <c r="B294" s="7" t="str">
        <f>HYPERLINK("https://twitter.com/pilar_balado","@pilar_balado")</f>
        <v>@pilar_balado</v>
      </c>
      <c r="C294" s="8" t="s">
        <v>1206</v>
      </c>
      <c r="D294" s="9" t="s">
        <v>1207</v>
      </c>
      <c r="E294" s="10" t="str">
        <f>HYPERLINK("https://twitter.com/pilar_balado/status/1065772683097505792","1065772683097505792")</f>
        <v>1065772683097505792</v>
      </c>
      <c r="F294" s="11" t="s">
        <v>1208</v>
      </c>
      <c r="G294" s="12"/>
      <c r="H294" s="12"/>
      <c r="I294" s="13">
        <v>0</v>
      </c>
      <c r="J294" s="13">
        <v>0</v>
      </c>
      <c r="K294" s="14" t="str">
        <f>HYPERLINK("http://twitter.com/download/android","Twitter for Android")</f>
        <v>Twitter for Android</v>
      </c>
      <c r="L294" s="13">
        <v>1399</v>
      </c>
      <c r="M294" s="13">
        <v>1016</v>
      </c>
      <c r="N294" s="13">
        <v>186</v>
      </c>
      <c r="O294" s="15"/>
      <c r="P294" s="6">
        <v>41866.482129629629</v>
      </c>
      <c r="Q294" s="12"/>
      <c r="R294" s="16" t="s">
        <v>1209</v>
      </c>
      <c r="S294" s="12"/>
      <c r="T294" s="12"/>
      <c r="U294" s="10" t="str">
        <f>HYPERLINK("https://pbs.twimg.com/profile_images/539512876017664000/3akyRwTo.jpeg","View")</f>
        <v>View</v>
      </c>
    </row>
    <row r="295" spans="1:21" ht="30.6">
      <c r="A295" s="6">
        <v>43426.68350694445</v>
      </c>
      <c r="B295" s="7" t="str">
        <f>HYPERLINK("https://twitter.com/EDUARDOLEOPOL17","@EDUARDOLEOPOL17")</f>
        <v>@EDUARDOLEOPOL17</v>
      </c>
      <c r="C295" s="8" t="s">
        <v>1210</v>
      </c>
      <c r="D295" s="9" t="s">
        <v>388</v>
      </c>
      <c r="E295" s="10" t="str">
        <f>HYPERLINK("https://twitter.com/EDUARDOLEOPOL17/status/1065762918178988037","1065762918178988037")</f>
        <v>1065762918178988037</v>
      </c>
      <c r="F295" s="11" t="s">
        <v>1211</v>
      </c>
      <c r="G295" s="12"/>
      <c r="H295" s="12"/>
      <c r="I295" s="13">
        <v>0</v>
      </c>
      <c r="J295" s="13">
        <v>1</v>
      </c>
      <c r="K295" s="14" t="str">
        <f t="shared" ref="K295:K296" si="55">HYPERLINK("http://twitter.com","Twitter Web Client")</f>
        <v>Twitter Web Client</v>
      </c>
      <c r="L295" s="13">
        <v>346</v>
      </c>
      <c r="M295" s="13">
        <v>348</v>
      </c>
      <c r="N295" s="13">
        <v>2</v>
      </c>
      <c r="O295" s="15"/>
      <c r="P295" s="6">
        <v>43287.722662037035</v>
      </c>
      <c r="Q295" s="17" t="s">
        <v>374</v>
      </c>
      <c r="R295" s="18"/>
      <c r="S295" s="12"/>
      <c r="T295" s="12"/>
      <c r="U295" s="10" t="str">
        <f>HYPERLINK("https://pbs.twimg.com/profile_images/1034197770616352768/aEVoRqKT.jpg","View")</f>
        <v>View</v>
      </c>
    </row>
    <row r="296" spans="1:21" ht="13.2">
      <c r="A296" s="6">
        <v>43426.680671296301</v>
      </c>
      <c r="B296" s="7" t="str">
        <f>HYPERLINK("https://twitter.com/McGuiNBA","@McGuiNBA")</f>
        <v>@McGuiNBA</v>
      </c>
      <c r="C296" s="8" t="s">
        <v>1212</v>
      </c>
      <c r="D296" s="9" t="s">
        <v>1213</v>
      </c>
      <c r="E296" s="10" t="str">
        <f>HYPERLINK("https://twitter.com/McGuiNBA/status/1065761889622343680","1065761889622343680")</f>
        <v>1065761889622343680</v>
      </c>
      <c r="F296" s="12"/>
      <c r="G296" s="11" t="s">
        <v>1214</v>
      </c>
      <c r="H296" s="12"/>
      <c r="I296" s="13">
        <v>0</v>
      </c>
      <c r="J296" s="13">
        <v>3</v>
      </c>
      <c r="K296" s="14" t="str">
        <f t="shared" si="55"/>
        <v>Twitter Web Client</v>
      </c>
      <c r="L296" s="13">
        <v>127</v>
      </c>
      <c r="M296" s="13">
        <v>79</v>
      </c>
      <c r="N296" s="13">
        <v>1</v>
      </c>
      <c r="O296" s="15"/>
      <c r="P296" s="6">
        <v>43385.643888888888</v>
      </c>
      <c r="Q296" s="17" t="s">
        <v>1205</v>
      </c>
      <c r="R296" s="16" t="s">
        <v>1215</v>
      </c>
      <c r="S296" s="12"/>
      <c r="T296" s="12"/>
      <c r="U296" s="10" t="str">
        <f>HYPERLINK("https://pbs.twimg.com/profile_images/1065772096695951360/ZFkaQAzd.jpg","View")</f>
        <v>View</v>
      </c>
    </row>
    <row r="297" spans="1:21" ht="20.399999999999999">
      <c r="A297" s="6">
        <v>43426.679537037038</v>
      </c>
      <c r="B297" s="7" t="str">
        <f>HYPERLINK("https://twitter.com/AcaymoA","@AcaymoA")</f>
        <v>@AcaymoA</v>
      </c>
      <c r="C297" s="8" t="s">
        <v>1216</v>
      </c>
      <c r="D297" s="9" t="s">
        <v>1217</v>
      </c>
      <c r="E297" s="10" t="str">
        <f>HYPERLINK("https://twitter.com/AcaymoA/status/1065761481512374272","1065761481512374272")</f>
        <v>1065761481512374272</v>
      </c>
      <c r="F297" s="12"/>
      <c r="G297" s="12"/>
      <c r="H297" s="12"/>
      <c r="I297" s="13">
        <v>0</v>
      </c>
      <c r="J297" s="13">
        <v>0</v>
      </c>
      <c r="K297" s="14" t="str">
        <f>HYPERLINK("http://twitter.com/download/android","Twitter for Android")</f>
        <v>Twitter for Android</v>
      </c>
      <c r="L297" s="13">
        <v>78</v>
      </c>
      <c r="M297" s="13">
        <v>195</v>
      </c>
      <c r="N297" s="13">
        <v>5</v>
      </c>
      <c r="O297" s="15"/>
      <c r="P297" s="6">
        <v>41526.461921296301</v>
      </c>
      <c r="Q297" s="12"/>
      <c r="R297" s="16" t="s">
        <v>1218</v>
      </c>
      <c r="S297" s="12"/>
      <c r="T297" s="12"/>
      <c r="U297" s="10" t="str">
        <f>HYPERLINK("https://pbs.twimg.com/profile_images/1023913341281099778/f-bY91PF.jpg","View")</f>
        <v>View</v>
      </c>
    </row>
    <row r="298" spans="1:21" ht="40.799999999999997">
      <c r="A298" s="6">
        <v>43426.677245370374</v>
      </c>
      <c r="B298" s="7" t="str">
        <f>HYPERLINK("https://twitter.com/fmonell","@fmonell")</f>
        <v>@fmonell</v>
      </c>
      <c r="C298" s="8" t="s">
        <v>1219</v>
      </c>
      <c r="D298" s="9" t="s">
        <v>1220</v>
      </c>
      <c r="E298" s="10" t="str">
        <f>HYPERLINK("https://twitter.com/fmonell/status/1065760649307930625","1065760649307930625")</f>
        <v>1065760649307930625</v>
      </c>
      <c r="F298" s="11" t="s">
        <v>267</v>
      </c>
      <c r="G298" s="12"/>
      <c r="H298" s="12"/>
      <c r="I298" s="13">
        <v>0</v>
      </c>
      <c r="J298" s="13">
        <v>0</v>
      </c>
      <c r="K298" s="14" t="str">
        <f>HYPERLINK("http://twitter.com/#!/download/ipad","Twitter for iPad")</f>
        <v>Twitter for iPad</v>
      </c>
      <c r="L298" s="13">
        <v>1446</v>
      </c>
      <c r="M298" s="13">
        <v>1858</v>
      </c>
      <c r="N298" s="13">
        <v>35</v>
      </c>
      <c r="O298" s="15"/>
      <c r="P298" s="6">
        <v>40233.205879629633</v>
      </c>
      <c r="Q298" s="17" t="s">
        <v>1221</v>
      </c>
      <c r="R298" s="16" t="s">
        <v>1222</v>
      </c>
      <c r="S298" s="12"/>
      <c r="T298" s="12"/>
      <c r="U298" s="10" t="str">
        <f>HYPERLINK("https://pbs.twimg.com/profile_images/1010365509982965760/TkEAa2UN.jpg","View")</f>
        <v>View</v>
      </c>
    </row>
    <row r="299" spans="1:21" ht="20.399999999999999">
      <c r="A299" s="6">
        <v>43426.674814814818</v>
      </c>
      <c r="B299" s="7" t="str">
        <f>HYPERLINK("https://twitter.com/magazine340es","@magazine340es")</f>
        <v>@magazine340es</v>
      </c>
      <c r="C299" s="20" t="s">
        <v>1223</v>
      </c>
      <c r="D299" s="9" t="s">
        <v>1224</v>
      </c>
      <c r="E299" s="10" t="str">
        <f>HYPERLINK("https://twitter.com/magazine340es/status/1065759770240532480","1065759770240532480")</f>
        <v>1065759770240532480</v>
      </c>
      <c r="F299" s="11" t="s">
        <v>1225</v>
      </c>
      <c r="G299" s="12"/>
      <c r="H299" s="12"/>
      <c r="I299" s="13">
        <v>0</v>
      </c>
      <c r="J299" s="13">
        <v>0</v>
      </c>
      <c r="K299" s="14" t="str">
        <f t="shared" ref="K299:K300" si="56">HYPERLINK("http://twitter.com","Twitter Web Client")</f>
        <v>Twitter Web Client</v>
      </c>
      <c r="L299" s="13">
        <v>3540</v>
      </c>
      <c r="M299" s="13">
        <v>943</v>
      </c>
      <c r="N299" s="13">
        <v>142</v>
      </c>
      <c r="O299" s="15"/>
      <c r="P299" s="6">
        <v>40420.386018518519</v>
      </c>
      <c r="Q299" s="12"/>
      <c r="R299" s="16" t="s">
        <v>1226</v>
      </c>
      <c r="S299" s="11" t="s">
        <v>1227</v>
      </c>
      <c r="T299" s="12"/>
      <c r="U299" s="10" t="str">
        <f>HYPERLINK("https://pbs.twimg.com/profile_images/951403586461818881/mT_OPbrB.jpg","View")</f>
        <v>View</v>
      </c>
    </row>
    <row r="300" spans="1:21" ht="30.6">
      <c r="A300" s="6">
        <v>43426.665879629625</v>
      </c>
      <c r="B300" s="7" t="str">
        <f>HYPERLINK("https://twitter.com/Crooperc","@Crooperc")</f>
        <v>@Crooperc</v>
      </c>
      <c r="C300" s="8" t="s">
        <v>1230</v>
      </c>
      <c r="D300" s="9" t="s">
        <v>1231</v>
      </c>
      <c r="E300" s="10" t="str">
        <f>HYPERLINK("https://twitter.com/Crooperc/status/1065756532510416896","1065756532510416896")</f>
        <v>1065756532510416896</v>
      </c>
      <c r="F300" s="12"/>
      <c r="G300" s="12"/>
      <c r="H300" s="12"/>
      <c r="I300" s="13">
        <v>0</v>
      </c>
      <c r="J300" s="13">
        <v>0</v>
      </c>
      <c r="K300" s="14" t="str">
        <f t="shared" si="56"/>
        <v>Twitter Web Client</v>
      </c>
      <c r="L300" s="13">
        <v>448</v>
      </c>
      <c r="M300" s="13">
        <v>1008</v>
      </c>
      <c r="N300" s="13">
        <v>7</v>
      </c>
      <c r="O300" s="15"/>
      <c r="P300" s="6">
        <v>40576.307604166665</v>
      </c>
      <c r="Q300" s="17" t="s">
        <v>26</v>
      </c>
      <c r="R300" s="16" t="s">
        <v>1235</v>
      </c>
      <c r="S300" s="12"/>
      <c r="T300" s="12"/>
      <c r="U300" s="10" t="str">
        <f>HYPERLINK("https://pbs.twimg.com/profile_images/710548663265857536/-TZuIifW.jpg","View")</f>
        <v>View</v>
      </c>
    </row>
    <row r="301" spans="1:21" ht="40.799999999999997">
      <c r="A301" s="6">
        <v>43426.665196759262</v>
      </c>
      <c r="B301" s="7" t="str">
        <f>HYPERLINK("https://twitter.com/marimardona","@marimardona")</f>
        <v>@marimardona</v>
      </c>
      <c r="C301" s="8" t="s">
        <v>1236</v>
      </c>
      <c r="D301" s="21" t="s">
        <v>1237</v>
      </c>
      <c r="E301" s="10" t="str">
        <f>HYPERLINK("https://twitter.com/marimardona/status/1065756283251408896","1065756283251408896")</f>
        <v>1065756283251408896</v>
      </c>
      <c r="F301" s="11" t="s">
        <v>47</v>
      </c>
      <c r="G301" s="12"/>
      <c r="H301" s="12"/>
      <c r="I301" s="13">
        <v>1</v>
      </c>
      <c r="J301" s="13">
        <v>0</v>
      </c>
      <c r="K301" s="14" t="str">
        <f t="shared" ref="K301:K303" si="57">HYPERLINK("http://twitter.com/download/android","Twitter for Android")</f>
        <v>Twitter for Android</v>
      </c>
      <c r="L301" s="13">
        <v>5489</v>
      </c>
      <c r="M301" s="13">
        <v>5455</v>
      </c>
      <c r="N301" s="13">
        <v>82</v>
      </c>
      <c r="O301" s="15"/>
      <c r="P301" s="6">
        <v>40640.372418981482</v>
      </c>
      <c r="Q301" s="17" t="s">
        <v>1238</v>
      </c>
      <c r="R301" s="16" t="s">
        <v>1239</v>
      </c>
      <c r="S301" s="12"/>
      <c r="T301" s="12"/>
      <c r="U301" s="10" t="str">
        <f>HYPERLINK("https://pbs.twimg.com/profile_images/1049018212325740544/3cPu8qps.jpg","View")</f>
        <v>View</v>
      </c>
    </row>
    <row r="302" spans="1:21" ht="40.799999999999997">
      <c r="A302" s="6">
        <v>43426.662766203706</v>
      </c>
      <c r="B302" s="7" t="str">
        <f>HYPERLINK("https://twitter.com/RafaEspinosa15","@RafaEspinosa15")</f>
        <v>@RafaEspinosa15</v>
      </c>
      <c r="C302" s="8" t="s">
        <v>1240</v>
      </c>
      <c r="D302" s="9" t="s">
        <v>1241</v>
      </c>
      <c r="E302" s="10" t="str">
        <f>HYPERLINK("https://twitter.com/RafaEspinosa15/status/1065755401000574976","1065755401000574976")</f>
        <v>1065755401000574976</v>
      </c>
      <c r="F302" s="12"/>
      <c r="G302" s="12"/>
      <c r="H302" s="12"/>
      <c r="I302" s="13">
        <v>0</v>
      </c>
      <c r="J302" s="13">
        <v>0</v>
      </c>
      <c r="K302" s="14" t="str">
        <f t="shared" si="57"/>
        <v>Twitter for Android</v>
      </c>
      <c r="L302" s="13">
        <v>120</v>
      </c>
      <c r="M302" s="13">
        <v>107</v>
      </c>
      <c r="N302" s="13">
        <v>0</v>
      </c>
      <c r="O302" s="15"/>
      <c r="P302" s="6">
        <v>43094.106851851851</v>
      </c>
      <c r="Q302" s="17" t="s">
        <v>1242</v>
      </c>
      <c r="R302" s="16" t="s">
        <v>1243</v>
      </c>
      <c r="S302" s="12"/>
      <c r="T302" s="12"/>
      <c r="U302" s="10" t="str">
        <f>HYPERLINK("https://pbs.twimg.com/profile_images/945243506456645632/-shmD1Us.jpg","View")</f>
        <v>View</v>
      </c>
    </row>
    <row r="303" spans="1:21" ht="51">
      <c r="A303" s="6">
        <v>43426.651145833333</v>
      </c>
      <c r="B303" s="7" t="str">
        <f>HYPERLINK("https://twitter.com/Dipodinae","@Dipodinae")</f>
        <v>@Dipodinae</v>
      </c>
      <c r="C303" s="8" t="s">
        <v>1244</v>
      </c>
      <c r="D303" s="9" t="s">
        <v>1245</v>
      </c>
      <c r="E303" s="10" t="str">
        <f>HYPERLINK("https://twitter.com/Dipodinae/status/1065751192746246146","1065751192746246146")</f>
        <v>1065751192746246146</v>
      </c>
      <c r="F303" s="17" t="s">
        <v>534</v>
      </c>
      <c r="G303" s="11" t="s">
        <v>535</v>
      </c>
      <c r="H303" s="12"/>
      <c r="I303" s="13">
        <v>0</v>
      </c>
      <c r="J303" s="13">
        <v>0</v>
      </c>
      <c r="K303" s="14" t="str">
        <f t="shared" si="57"/>
        <v>Twitter for Android</v>
      </c>
      <c r="L303" s="13">
        <v>77</v>
      </c>
      <c r="M303" s="13">
        <v>206</v>
      </c>
      <c r="N303" s="13">
        <v>1</v>
      </c>
      <c r="O303" s="15"/>
      <c r="P303" s="6">
        <v>40166.293692129628</v>
      </c>
      <c r="Q303" s="17" t="s">
        <v>1247</v>
      </c>
      <c r="R303" s="16" t="s">
        <v>1248</v>
      </c>
      <c r="S303" s="12"/>
      <c r="T303" s="12"/>
      <c r="U303" s="10" t="str">
        <f>HYPERLINK("https://pbs.twimg.com/profile_images/1058827035576057856/65u_pR8I.jpg","View")</f>
        <v>View</v>
      </c>
    </row>
    <row r="304" spans="1:21" ht="40.799999999999997">
      <c r="A304" s="6">
        <v>43426.64643518519</v>
      </c>
      <c r="B304" s="7" t="str">
        <f>HYPERLINK("https://twitter.com/rgb1octubre","@rgb1octubre")</f>
        <v>@rgb1octubre</v>
      </c>
      <c r="C304" s="8" t="s">
        <v>1249</v>
      </c>
      <c r="D304" s="9" t="s">
        <v>1250</v>
      </c>
      <c r="E304" s="10" t="str">
        <f>HYPERLINK("https://twitter.com/rgb1octubre/status/1065749484716605442","1065749484716605442")</f>
        <v>1065749484716605442</v>
      </c>
      <c r="F304" s="17" t="s">
        <v>1251</v>
      </c>
      <c r="G304" s="12"/>
      <c r="H304" s="12"/>
      <c r="I304" s="13">
        <v>0</v>
      </c>
      <c r="J304" s="13">
        <v>0</v>
      </c>
      <c r="K304" s="14" t="str">
        <f>HYPERLINK("https://mobile.twitter.com","Twitter Lite")</f>
        <v>Twitter Lite</v>
      </c>
      <c r="L304" s="13">
        <v>465</v>
      </c>
      <c r="M304" s="13">
        <v>777</v>
      </c>
      <c r="N304" s="13">
        <v>1</v>
      </c>
      <c r="O304" s="15"/>
      <c r="P304" s="6">
        <v>43201.638715277775</v>
      </c>
      <c r="Q304" s="17" t="s">
        <v>1252</v>
      </c>
      <c r="R304" s="18"/>
      <c r="S304" s="12"/>
      <c r="T304" s="12"/>
      <c r="U304" s="10" t="str">
        <f>HYPERLINK("https://pbs.twimg.com/profile_images/1058700447190564864/_2S_OX2A.jpg","View")</f>
        <v>View</v>
      </c>
    </row>
    <row r="305" spans="1:21" ht="20.399999999999999">
      <c r="A305" s="6">
        <v>43426.640416666662</v>
      </c>
      <c r="B305" s="7" t="str">
        <f>HYPERLINK("https://twitter.com/elisadocio","@elisadocio")</f>
        <v>@elisadocio</v>
      </c>
      <c r="C305" s="8" t="s">
        <v>1253</v>
      </c>
      <c r="D305" s="9" t="s">
        <v>41</v>
      </c>
      <c r="E305" s="10" t="str">
        <f>HYPERLINK("https://twitter.com/elisadocio/status/1065747305763139590","1065747305763139590")</f>
        <v>1065747305763139590</v>
      </c>
      <c r="F305" s="11" t="s">
        <v>42</v>
      </c>
      <c r="G305" s="12"/>
      <c r="H305" s="12"/>
      <c r="I305" s="13">
        <v>0</v>
      </c>
      <c r="J305" s="13">
        <v>0</v>
      </c>
      <c r="K305" s="14" t="str">
        <f>HYPERLINK("http://www.facebook.com/twitter","Facebook")</f>
        <v>Facebook</v>
      </c>
      <c r="L305" s="13">
        <v>206</v>
      </c>
      <c r="M305" s="13">
        <v>359</v>
      </c>
      <c r="N305" s="13">
        <v>3</v>
      </c>
      <c r="O305" s="15"/>
      <c r="P305" s="6">
        <v>39808.611134259263</v>
      </c>
      <c r="Q305" s="17" t="s">
        <v>1254</v>
      </c>
      <c r="R305" s="18"/>
      <c r="S305" s="11" t="s">
        <v>1255</v>
      </c>
      <c r="T305" s="12"/>
      <c r="U305" s="10" t="str">
        <f>HYPERLINK("https://pbs.twimg.com/profile_images/106544839/pa310035_edited2.jpg","View")</f>
        <v>View</v>
      </c>
    </row>
    <row r="306" spans="1:21" ht="30.6">
      <c r="A306" s="6">
        <v>43426.635914351849</v>
      </c>
      <c r="B306" s="7" t="str">
        <f>HYPERLINK("https://twitter.com/Paco_Pico27","@Paco_Pico27")</f>
        <v>@Paco_Pico27</v>
      </c>
      <c r="C306" s="8" t="s">
        <v>1256</v>
      </c>
      <c r="D306" s="9" t="s">
        <v>45</v>
      </c>
      <c r="E306" s="10" t="str">
        <f>HYPERLINK("https://twitter.com/Paco_Pico27/status/1065745672660488192","1065745672660488192")</f>
        <v>1065745672660488192</v>
      </c>
      <c r="F306" s="11" t="s">
        <v>47</v>
      </c>
      <c r="G306" s="12"/>
      <c r="H306" s="12"/>
      <c r="I306" s="13">
        <v>0</v>
      </c>
      <c r="J306" s="13">
        <v>0</v>
      </c>
      <c r="K306" s="14" t="str">
        <f>HYPERLINK("http://twitter.com/download/android","Twitter for Android")</f>
        <v>Twitter for Android</v>
      </c>
      <c r="L306" s="13">
        <v>465</v>
      </c>
      <c r="M306" s="13">
        <v>857</v>
      </c>
      <c r="N306" s="13">
        <v>0</v>
      </c>
      <c r="O306" s="15"/>
      <c r="P306" s="6">
        <v>41043.386145833334</v>
      </c>
      <c r="Q306" s="17" t="s">
        <v>76</v>
      </c>
      <c r="R306" s="16" t="s">
        <v>1257</v>
      </c>
      <c r="S306" s="12"/>
      <c r="T306" s="12"/>
      <c r="U306" s="10" t="str">
        <f>HYPERLINK("https://pbs.twimg.com/profile_images/711077803148632064/3ryoGf1J.jpg","View")</f>
        <v>View</v>
      </c>
    </row>
    <row r="307" spans="1:21" ht="30.6">
      <c r="A307" s="6">
        <v>43426.634756944448</v>
      </c>
      <c r="B307" s="7" t="str">
        <f>HYPERLINK("https://twitter.com/ElHuffPost","@ElHuffPost")</f>
        <v>@ElHuffPost</v>
      </c>
      <c r="C307" s="8" t="s">
        <v>467</v>
      </c>
      <c r="D307" s="9" t="s">
        <v>855</v>
      </c>
      <c r="E307" s="10" t="str">
        <f>HYPERLINK("https://twitter.com/ElHuffPost/status/1065745252340912130","1065745252340912130")</f>
        <v>1065745252340912130</v>
      </c>
      <c r="F307" s="11" t="s">
        <v>469</v>
      </c>
      <c r="G307" s="12"/>
      <c r="H307" s="12"/>
      <c r="I307" s="13">
        <v>2</v>
      </c>
      <c r="J307" s="13">
        <v>2</v>
      </c>
      <c r="K307" s="14" t="str">
        <f t="shared" ref="K307:K309" si="58">HYPERLINK("http://twitter.com","Twitter Web Client")</f>
        <v>Twitter Web Client</v>
      </c>
      <c r="L307" s="13">
        <v>430323</v>
      </c>
      <c r="M307" s="13">
        <v>1532</v>
      </c>
      <c r="N307" s="13">
        <v>8186</v>
      </c>
      <c r="O307" s="19" t="s">
        <v>74</v>
      </c>
      <c r="P307" s="6">
        <v>40784.652118055557</v>
      </c>
      <c r="Q307" s="17" t="s">
        <v>203</v>
      </c>
      <c r="R307" s="16" t="s">
        <v>471</v>
      </c>
      <c r="S307" s="11" t="s">
        <v>472</v>
      </c>
      <c r="T307" s="12"/>
      <c r="U307" s="10" t="str">
        <f>HYPERLINK("https://pbs.twimg.com/profile_images/921140803422089217/ETOEUOAx.jpg","View")</f>
        <v>View</v>
      </c>
    </row>
    <row r="308" spans="1:21" ht="61.2">
      <c r="A308" s="6">
        <v>43426.633321759262</v>
      </c>
      <c r="B308" s="7" t="str">
        <f t="shared" ref="B308:B309" si="59">HYPERLINK("https://twitter.com/pablo_casado","@pablo_casado")</f>
        <v>@pablo_casado</v>
      </c>
      <c r="C308" s="8" t="s">
        <v>353</v>
      </c>
      <c r="D308" s="9" t="s">
        <v>1258</v>
      </c>
      <c r="E308" s="10" t="str">
        <f>HYPERLINK("https://twitter.com/pablo_casado/status/1065744734621184000","1065744734621184000")</f>
        <v>1065744734621184000</v>
      </c>
      <c r="F308" s="11" t="s">
        <v>1259</v>
      </c>
      <c r="G308" s="11" t="s">
        <v>1260</v>
      </c>
      <c r="H308" s="12"/>
      <c r="I308" s="13">
        <v>0</v>
      </c>
      <c r="J308" s="13">
        <v>0</v>
      </c>
      <c r="K308" s="14" t="str">
        <f t="shared" si="58"/>
        <v>Twitter Web Client</v>
      </c>
      <c r="L308" s="13">
        <v>798</v>
      </c>
      <c r="M308" s="13">
        <v>1165</v>
      </c>
      <c r="N308" s="13">
        <v>16</v>
      </c>
      <c r="O308" s="15"/>
      <c r="P308" s="6">
        <v>40631.269189814819</v>
      </c>
      <c r="Q308" s="17" t="s">
        <v>356</v>
      </c>
      <c r="R308" s="16" t="s">
        <v>357</v>
      </c>
      <c r="S308" s="11" t="s">
        <v>358</v>
      </c>
      <c r="T308" s="12"/>
      <c r="U308" s="10" t="str">
        <f t="shared" ref="U308:U309" si="60">HYPERLINK("https://pbs.twimg.com/profile_images/960372546393837569/o7y23nco.jpg","View")</f>
        <v>View</v>
      </c>
    </row>
    <row r="309" spans="1:21" ht="30.6">
      <c r="A309" s="6">
        <v>43426.632349537038</v>
      </c>
      <c r="B309" s="7" t="str">
        <f t="shared" si="59"/>
        <v>@pablo_casado</v>
      </c>
      <c r="C309" s="8" t="s">
        <v>353</v>
      </c>
      <c r="D309" s="9" t="s">
        <v>1261</v>
      </c>
      <c r="E309" s="10" t="str">
        <f>HYPERLINK("https://twitter.com/pablo_casado/status/1065744379820695552","1065744379820695552")</f>
        <v>1065744379820695552</v>
      </c>
      <c r="F309" s="11" t="s">
        <v>1262</v>
      </c>
      <c r="G309" s="11" t="s">
        <v>1263</v>
      </c>
      <c r="H309" s="12"/>
      <c r="I309" s="13">
        <v>0</v>
      </c>
      <c r="J309" s="13">
        <v>6</v>
      </c>
      <c r="K309" s="14" t="str">
        <f t="shared" si="58"/>
        <v>Twitter Web Client</v>
      </c>
      <c r="L309" s="13">
        <v>798</v>
      </c>
      <c r="M309" s="13">
        <v>1165</v>
      </c>
      <c r="N309" s="13">
        <v>16</v>
      </c>
      <c r="O309" s="15"/>
      <c r="P309" s="6">
        <v>40631.269189814819</v>
      </c>
      <c r="Q309" s="17" t="s">
        <v>356</v>
      </c>
      <c r="R309" s="16" t="s">
        <v>357</v>
      </c>
      <c r="S309" s="11" t="s">
        <v>358</v>
      </c>
      <c r="T309" s="12"/>
      <c r="U309" s="10" t="str">
        <f t="shared" si="60"/>
        <v>View</v>
      </c>
    </row>
    <row r="310" spans="1:21" ht="20.399999999999999">
      <c r="A310" s="6">
        <v>43426.630393518513</v>
      </c>
      <c r="B310" s="7" t="str">
        <f>HYPERLINK("https://twitter.com/AbueloBala","@AbueloBala")</f>
        <v>@AbueloBala</v>
      </c>
      <c r="C310" s="8" t="s">
        <v>1264</v>
      </c>
      <c r="D310" s="9" t="s">
        <v>1265</v>
      </c>
      <c r="E310" s="10" t="str">
        <f>HYPERLINK("https://twitter.com/AbueloBala/status/1065743673101553664","1065743673101553664")</f>
        <v>1065743673101553664</v>
      </c>
      <c r="F310" s="12"/>
      <c r="G310" s="12"/>
      <c r="H310" s="12"/>
      <c r="I310" s="13">
        <v>2</v>
      </c>
      <c r="J310" s="13">
        <v>9</v>
      </c>
      <c r="K310" s="14" t="str">
        <f>HYPERLINK("http://twitter.com/download/android","Twitter for Android")</f>
        <v>Twitter for Android</v>
      </c>
      <c r="L310" s="13">
        <v>7387</v>
      </c>
      <c r="M310" s="13">
        <v>580</v>
      </c>
      <c r="N310" s="13">
        <v>46</v>
      </c>
      <c r="O310" s="15"/>
      <c r="P310" s="6">
        <v>42241.251979166671</v>
      </c>
      <c r="Q310" s="12"/>
      <c r="R310" s="16" t="s">
        <v>1266</v>
      </c>
      <c r="S310" s="12"/>
      <c r="T310" s="12"/>
      <c r="U310" s="10" t="str">
        <f>HYPERLINK("https://pbs.twimg.com/profile_images/1014631004571619328/64skuGbr.jpg","View")</f>
        <v>View</v>
      </c>
    </row>
    <row r="311" spans="1:21" ht="40.799999999999997">
      <c r="A311" s="6">
        <v>43426.629861111112</v>
      </c>
      <c r="B311" s="7" t="str">
        <f>HYPERLINK("https://twitter.com/CDFerrer","@CDFerrer")</f>
        <v>@CDFerrer</v>
      </c>
      <c r="C311" s="8" t="s">
        <v>1268</v>
      </c>
      <c r="D311" s="9" t="s">
        <v>1269</v>
      </c>
      <c r="E311" s="10" t="str">
        <f>HYPERLINK("https://twitter.com/CDFerrer/status/1065743477760241664","1065743477760241664")</f>
        <v>1065743477760241664</v>
      </c>
      <c r="F311" s="11" t="s">
        <v>1270</v>
      </c>
      <c r="G311" s="12"/>
      <c r="H311" s="12"/>
      <c r="I311" s="13">
        <v>0</v>
      </c>
      <c r="J311" s="13">
        <v>0</v>
      </c>
      <c r="K311" s="14" t="str">
        <f>HYPERLINK("http://twitter.com","Twitter Web Client")</f>
        <v>Twitter Web Client</v>
      </c>
      <c r="L311" s="13">
        <v>498</v>
      </c>
      <c r="M311" s="13">
        <v>926</v>
      </c>
      <c r="N311" s="13">
        <v>2</v>
      </c>
      <c r="O311" s="15"/>
      <c r="P311" s="6">
        <v>40222.161782407406</v>
      </c>
      <c r="Q311" s="17" t="s">
        <v>1271</v>
      </c>
      <c r="R311" s="16" t="s">
        <v>1272</v>
      </c>
      <c r="S311" s="11" t="s">
        <v>1273</v>
      </c>
      <c r="T311" s="12"/>
      <c r="U311" s="10" t="str">
        <f>HYPERLINK("https://pbs.twimg.com/profile_images/1019244080721793024/bS54RZu5.jpg","View")</f>
        <v>View</v>
      </c>
    </row>
    <row r="312" spans="1:21" ht="51">
      <c r="A312" s="6">
        <v>43426.627372685187</v>
      </c>
      <c r="B312" s="7" t="str">
        <f>HYPERLINK("https://twitter.com/JustoDesdeTFE","@JustoDesdeTFE")</f>
        <v>@JustoDesdeTFE</v>
      </c>
      <c r="C312" s="8" t="s">
        <v>1274</v>
      </c>
      <c r="D312" s="9" t="s">
        <v>1275</v>
      </c>
      <c r="E312" s="10" t="str">
        <f>HYPERLINK("https://twitter.com/JustoDesdeTFE/status/1065742576265891841","1065742576265891841")</f>
        <v>1065742576265891841</v>
      </c>
      <c r="F312" s="11" t="s">
        <v>1049</v>
      </c>
      <c r="G312" s="12"/>
      <c r="H312" s="12"/>
      <c r="I312" s="13">
        <v>0</v>
      </c>
      <c r="J312" s="13">
        <v>0</v>
      </c>
      <c r="K312" s="14" t="str">
        <f>HYPERLINK("http://twitter.com/download/iphone","Twitter for iPhone")</f>
        <v>Twitter for iPhone</v>
      </c>
      <c r="L312" s="13">
        <v>1463</v>
      </c>
      <c r="M312" s="13">
        <v>1389</v>
      </c>
      <c r="N312" s="13">
        <v>32</v>
      </c>
      <c r="O312" s="15"/>
      <c r="P312" s="6">
        <v>40106.061990740738</v>
      </c>
      <c r="Q312" s="17" t="s">
        <v>1276</v>
      </c>
      <c r="R312" s="16" t="s">
        <v>1277</v>
      </c>
      <c r="S312" s="11" t="s">
        <v>1278</v>
      </c>
      <c r="T312" s="12"/>
      <c r="U312" s="10" t="str">
        <f>HYPERLINK("https://pbs.twimg.com/profile_images/1054977877257674752/tS_ojGE1.jpg","View")</f>
        <v>View</v>
      </c>
    </row>
    <row r="313" spans="1:21" ht="51">
      <c r="A313" s="6">
        <v>43426.626412037032</v>
      </c>
      <c r="B313" s="7" t="str">
        <f>HYPERLINK("https://twitter.com/josemarxtinez","@josemarxtinez")</f>
        <v>@josemarxtinez</v>
      </c>
      <c r="C313" s="8" t="s">
        <v>1279</v>
      </c>
      <c r="D313" s="9" t="s">
        <v>1280</v>
      </c>
      <c r="E313" s="10" t="str">
        <f>HYPERLINK("https://twitter.com/josemarxtinez/status/1065742229703135233","1065742229703135233")</f>
        <v>1065742229703135233</v>
      </c>
      <c r="F313" s="12"/>
      <c r="G313" s="12"/>
      <c r="H313" s="12"/>
      <c r="I313" s="13">
        <v>0</v>
      </c>
      <c r="J313" s="13">
        <v>1</v>
      </c>
      <c r="K313" s="14" t="str">
        <f t="shared" ref="K313:K314" si="61">HYPERLINK("http://twitter.com","Twitter Web Client")</f>
        <v>Twitter Web Client</v>
      </c>
      <c r="L313" s="13">
        <v>151</v>
      </c>
      <c r="M313" s="13">
        <v>366</v>
      </c>
      <c r="N313" s="13">
        <v>0</v>
      </c>
      <c r="O313" s="15"/>
      <c r="P313" s="6">
        <v>43272.691655092596</v>
      </c>
      <c r="Q313" s="12"/>
      <c r="R313" s="16" t="s">
        <v>1281</v>
      </c>
      <c r="S313" s="12"/>
      <c r="T313" s="12"/>
      <c r="U313" s="10" t="str">
        <f>HYPERLINK("https://pbs.twimg.com/profile_images/1009945066654388225/3HfHNcCx.jpg","View")</f>
        <v>View</v>
      </c>
    </row>
    <row r="314" spans="1:21" ht="20.399999999999999">
      <c r="A314" s="6">
        <v>43426.625451388885</v>
      </c>
      <c r="B314" s="7" t="str">
        <f>HYPERLINK("https://twitter.com/majara0","@majara0")</f>
        <v>@majara0</v>
      </c>
      <c r="C314" s="8" t="s">
        <v>1282</v>
      </c>
      <c r="D314" s="9" t="s">
        <v>1283</v>
      </c>
      <c r="E314" s="10" t="str">
        <f>HYPERLINK("https://twitter.com/majara0/status/1065741879717826561","1065741879717826561")</f>
        <v>1065741879717826561</v>
      </c>
      <c r="F314" s="11" t="s">
        <v>962</v>
      </c>
      <c r="G314" s="12"/>
      <c r="H314" s="12"/>
      <c r="I314" s="13">
        <v>1</v>
      </c>
      <c r="J314" s="13">
        <v>1</v>
      </c>
      <c r="K314" s="14" t="str">
        <f t="shared" si="61"/>
        <v>Twitter Web Client</v>
      </c>
      <c r="L314" s="13">
        <v>21503</v>
      </c>
      <c r="M314" s="13">
        <v>532</v>
      </c>
      <c r="N314" s="13">
        <v>356</v>
      </c>
      <c r="O314" s="15"/>
      <c r="P314" s="6">
        <v>41758.627708333333</v>
      </c>
      <c r="Q314" s="11" t="s">
        <v>1284</v>
      </c>
      <c r="R314" s="16" t="s">
        <v>1285</v>
      </c>
      <c r="S314" s="11" t="s">
        <v>1286</v>
      </c>
      <c r="T314" s="12"/>
      <c r="U314" s="10" t="str">
        <f>HYPERLINK("https://pbs.twimg.com/profile_images/870010551069552640/17jVtRsw.jpg","View")</f>
        <v>View</v>
      </c>
    </row>
    <row r="315" spans="1:21" ht="40.799999999999997">
      <c r="A315" s="6">
        <v>43426.622986111106</v>
      </c>
      <c r="B315" s="7" t="str">
        <f>HYPERLINK("https://twitter.com/OMi5K","@OMi5K")</f>
        <v>@OMi5K</v>
      </c>
      <c r="C315" s="8" t="s">
        <v>1287</v>
      </c>
      <c r="D315" s="9" t="s">
        <v>1288</v>
      </c>
      <c r="E315" s="10" t="str">
        <f>HYPERLINK("https://twitter.com/OMi5K/status/1065740986318495749","1065740986318495749")</f>
        <v>1065740986318495749</v>
      </c>
      <c r="F315" s="17" t="s">
        <v>534</v>
      </c>
      <c r="G315" s="11" t="s">
        <v>535</v>
      </c>
      <c r="H315" s="12"/>
      <c r="I315" s="13">
        <v>1</v>
      </c>
      <c r="J315" s="13">
        <v>0</v>
      </c>
      <c r="K315" s="14" t="str">
        <f>HYPERLINK("http://twitter.com/download/iphone","Twitter for iPhone")</f>
        <v>Twitter for iPhone</v>
      </c>
      <c r="L315" s="13">
        <v>340</v>
      </c>
      <c r="M315" s="13">
        <v>388</v>
      </c>
      <c r="N315" s="13">
        <v>9</v>
      </c>
      <c r="O315" s="15"/>
      <c r="P315" s="6">
        <v>41187.521817129629</v>
      </c>
      <c r="Q315" s="12"/>
      <c r="R315" s="16" t="s">
        <v>1289</v>
      </c>
      <c r="S315" s="11" t="s">
        <v>1290</v>
      </c>
      <c r="T315" s="12"/>
      <c r="U315" s="10" t="str">
        <f>HYPERLINK("https://pbs.twimg.com/profile_images/1029124433443807232/OzhnrpHw.jpg","View")</f>
        <v>View</v>
      </c>
    </row>
    <row r="316" spans="1:21" ht="51">
      <c r="A316" s="6">
        <v>43426.619826388887</v>
      </c>
      <c r="B316" s="7" t="str">
        <f>HYPERLINK("https://twitter.com/PapiOsote","@PapiOsote")</f>
        <v>@PapiOsote</v>
      </c>
      <c r="C316" s="8" t="s">
        <v>1291</v>
      </c>
      <c r="D316" s="9" t="s">
        <v>1292</v>
      </c>
      <c r="E316" s="10" t="str">
        <f>HYPERLINK("https://twitter.com/PapiOsote/status/1065739842749902848","1065739842749902848")</f>
        <v>1065739842749902848</v>
      </c>
      <c r="F316" s="11" t="s">
        <v>1293</v>
      </c>
      <c r="G316" s="12"/>
      <c r="H316" s="12"/>
      <c r="I316" s="13">
        <v>0</v>
      </c>
      <c r="J316" s="13">
        <v>0</v>
      </c>
      <c r="K316" s="14" t="str">
        <f t="shared" ref="K316:K317" si="62">HYPERLINK("http://twitter.com","Twitter Web Client")</f>
        <v>Twitter Web Client</v>
      </c>
      <c r="L316" s="13">
        <v>155</v>
      </c>
      <c r="M316" s="13">
        <v>392</v>
      </c>
      <c r="N316" s="13">
        <v>0</v>
      </c>
      <c r="O316" s="15"/>
      <c r="P316" s="6">
        <v>41622.530995370369</v>
      </c>
      <c r="Q316" s="17" t="s">
        <v>187</v>
      </c>
      <c r="R316" s="16" t="s">
        <v>1294</v>
      </c>
      <c r="S316" s="12"/>
      <c r="T316" s="12"/>
      <c r="U316" s="10" t="str">
        <f>HYPERLINK("https://pbs.twimg.com/profile_images/714578586775265282/2I2DLwJE.jpg","View")</f>
        <v>View</v>
      </c>
    </row>
    <row r="317" spans="1:21" ht="30.6">
      <c r="A317" s="6">
        <v>43426.616157407407</v>
      </c>
      <c r="B317" s="7" t="str">
        <f>HYPERLINK("https://twitter.com/OlgaLosad","@OlgaLosad")</f>
        <v>@OlgaLosad</v>
      </c>
      <c r="C317" s="8" t="s">
        <v>1295</v>
      </c>
      <c r="D317" s="9" t="s">
        <v>1296</v>
      </c>
      <c r="E317" s="10" t="str">
        <f>HYPERLINK("https://twitter.com/OlgaLosad/status/1065738511242940416","1065738511242940416")</f>
        <v>1065738511242940416</v>
      </c>
      <c r="F317" s="17" t="s">
        <v>1297</v>
      </c>
      <c r="G317" s="12"/>
      <c r="H317" s="12"/>
      <c r="I317" s="13">
        <v>1</v>
      </c>
      <c r="J317" s="13">
        <v>2</v>
      </c>
      <c r="K317" s="14" t="str">
        <f t="shared" si="62"/>
        <v>Twitter Web Client</v>
      </c>
      <c r="L317" s="13">
        <v>9261</v>
      </c>
      <c r="M317" s="13">
        <v>8131</v>
      </c>
      <c r="N317" s="13">
        <v>111</v>
      </c>
      <c r="O317" s="15"/>
      <c r="P317" s="6">
        <v>41403.295057870375</v>
      </c>
      <c r="Q317" s="17" t="s">
        <v>29</v>
      </c>
      <c r="R317" s="16" t="s">
        <v>1298</v>
      </c>
      <c r="S317" s="12"/>
      <c r="T317" s="12"/>
      <c r="U317" s="10" t="str">
        <f>HYPERLINK("https://pbs.twimg.com/profile_images/521530665079431168/4QKaagby.jpeg","View")</f>
        <v>View</v>
      </c>
    </row>
    <row r="318" spans="1:21" ht="40.799999999999997">
      <c r="A318" s="6">
        <v>43426.614259259259</v>
      </c>
      <c r="B318" s="7" t="str">
        <f>HYPERLINK("https://twitter.com/arcitecta","@arcitecta")</f>
        <v>@arcitecta</v>
      </c>
      <c r="C318" s="8" t="s">
        <v>1299</v>
      </c>
      <c r="D318" s="9" t="s">
        <v>1300</v>
      </c>
      <c r="E318" s="10" t="str">
        <f>HYPERLINK("https://twitter.com/arcitecta/status/1065737826384384002","1065737826384384002")</f>
        <v>1065737826384384002</v>
      </c>
      <c r="F318" s="17" t="s">
        <v>534</v>
      </c>
      <c r="G318" s="11" t="s">
        <v>535</v>
      </c>
      <c r="H318" s="12"/>
      <c r="I318" s="13">
        <v>10</v>
      </c>
      <c r="J318" s="13">
        <v>82</v>
      </c>
      <c r="K318" s="14" t="str">
        <f>HYPERLINK("http://twitter.com/download/iphone","Twitter for iPhone")</f>
        <v>Twitter for iPhone</v>
      </c>
      <c r="L318" s="13">
        <v>56051</v>
      </c>
      <c r="M318" s="13">
        <v>394</v>
      </c>
      <c r="N318" s="13">
        <v>965</v>
      </c>
      <c r="O318" s="15"/>
      <c r="P318" s="6">
        <v>40401.575520833336</v>
      </c>
      <c r="Q318" s="12"/>
      <c r="R318" s="16" t="s">
        <v>1301</v>
      </c>
      <c r="S318" s="12"/>
      <c r="T318" s="12"/>
      <c r="U318" s="10" t="str">
        <f>HYPERLINK("https://pbs.twimg.com/profile_images/466293539220226048/Jo5MEbhN.jpeg","View")</f>
        <v>View</v>
      </c>
    </row>
    <row r="319" spans="1:21" ht="20.399999999999999">
      <c r="A319" s="6">
        <v>43426.613981481481</v>
      </c>
      <c r="B319" s="7" t="str">
        <f>HYPERLINK("https://twitter.com/ximojordan1","@ximojordan1")</f>
        <v>@ximojordan1</v>
      </c>
      <c r="C319" s="8" t="s">
        <v>1302</v>
      </c>
      <c r="D319" s="9" t="s">
        <v>1303</v>
      </c>
      <c r="E319" s="10" t="str">
        <f>HYPERLINK("https://twitter.com/ximojordan1/status/1065737723934318593","1065737723934318593")</f>
        <v>1065737723934318593</v>
      </c>
      <c r="F319" s="12"/>
      <c r="G319" s="12"/>
      <c r="H319" s="12"/>
      <c r="I319" s="13">
        <v>0</v>
      </c>
      <c r="J319" s="13">
        <v>0</v>
      </c>
      <c r="K319" s="14" t="str">
        <f>HYPERLINK("http://www.facebook.com/twitter","Facebook")</f>
        <v>Facebook</v>
      </c>
      <c r="L319" s="13">
        <v>79</v>
      </c>
      <c r="M319" s="13">
        <v>217</v>
      </c>
      <c r="N319" s="13">
        <v>0</v>
      </c>
      <c r="O319" s="15"/>
      <c r="P319" s="6">
        <v>41056.987175925926</v>
      </c>
      <c r="Q319" s="17" t="s">
        <v>179</v>
      </c>
      <c r="R319" s="16" t="s">
        <v>1304</v>
      </c>
      <c r="S319" s="12"/>
      <c r="T319" s="12"/>
      <c r="U319" s="10" t="str">
        <f>HYPERLINK("https://pbs.twimg.com/profile_images/914804867155288064/kAUMOxNa.jpg","View")</f>
        <v>View</v>
      </c>
    </row>
    <row r="320" spans="1:21" ht="40.799999999999997">
      <c r="A320" s="6">
        <v>43426.613773148143</v>
      </c>
      <c r="B320" s="7" t="str">
        <f>HYPERLINK("https://twitter.com/JaumeAlonsoCuev","@JaumeAlonsoCuev")</f>
        <v>@JaumeAlonsoCuev</v>
      </c>
      <c r="C320" s="8" t="s">
        <v>1305</v>
      </c>
      <c r="D320" s="9" t="s">
        <v>41</v>
      </c>
      <c r="E320" s="10" t="str">
        <f>HYPERLINK("https://twitter.com/JaumeAlonsoCuev/status/1065737650202701825","1065737650202701825")</f>
        <v>1065737650202701825</v>
      </c>
      <c r="F320" s="11" t="s">
        <v>42</v>
      </c>
      <c r="G320" s="12"/>
      <c r="H320" s="12"/>
      <c r="I320" s="13">
        <v>56</v>
      </c>
      <c r="J320" s="13">
        <v>72</v>
      </c>
      <c r="K320" s="14" t="str">
        <f>HYPERLINK("http://twitter.com/download/iphone","Twitter for iPhone")</f>
        <v>Twitter for iPhone</v>
      </c>
      <c r="L320" s="13">
        <v>101162</v>
      </c>
      <c r="M320" s="13">
        <v>1638</v>
      </c>
      <c r="N320" s="13">
        <v>386</v>
      </c>
      <c r="O320" s="15"/>
      <c r="P320" s="6">
        <v>39921.407685185186</v>
      </c>
      <c r="Q320" s="17" t="s">
        <v>187</v>
      </c>
      <c r="R320" s="16" t="s">
        <v>1306</v>
      </c>
      <c r="S320" s="11" t="s">
        <v>1307</v>
      </c>
      <c r="T320" s="12"/>
      <c r="U320" s="10" t="str">
        <f>HYPERLINK("https://pbs.twimg.com/profile_images/922540522576793602/Qh2j_j_6.jpg","View")</f>
        <v>View</v>
      </c>
    </row>
    <row r="321" spans="1:21" ht="30.6">
      <c r="A321" s="6">
        <v>43426.612905092596</v>
      </c>
      <c r="B321" s="7" t="str">
        <f>HYPERLINK("https://twitter.com/ximojordan1","@ximojordan1")</f>
        <v>@ximojordan1</v>
      </c>
      <c r="C321" s="8" t="s">
        <v>1302</v>
      </c>
      <c r="D321" s="9" t="s">
        <v>1308</v>
      </c>
      <c r="E321" s="10" t="str">
        <f>HYPERLINK("https://twitter.com/ximojordan1/status/1065737332509339648","1065737332509339648")</f>
        <v>1065737332509339648</v>
      </c>
      <c r="F321" s="12"/>
      <c r="G321" s="12"/>
      <c r="H321" s="12"/>
      <c r="I321" s="13">
        <v>0</v>
      </c>
      <c r="J321" s="13">
        <v>0</v>
      </c>
      <c r="K321" s="14" t="str">
        <f>HYPERLINK("http://www.facebook.com/twitter","Facebook")</f>
        <v>Facebook</v>
      </c>
      <c r="L321" s="13">
        <v>79</v>
      </c>
      <c r="M321" s="13">
        <v>217</v>
      </c>
      <c r="N321" s="13">
        <v>0</v>
      </c>
      <c r="O321" s="15"/>
      <c r="P321" s="6">
        <v>41056.987175925926</v>
      </c>
      <c r="Q321" s="17" t="s">
        <v>179</v>
      </c>
      <c r="R321" s="16" t="s">
        <v>1304</v>
      </c>
      <c r="S321" s="12"/>
      <c r="T321" s="12"/>
      <c r="U321" s="10" t="str">
        <f>HYPERLINK("https://pbs.twimg.com/profile_images/914804867155288064/kAUMOxNa.jpg","View")</f>
        <v>View</v>
      </c>
    </row>
    <row r="322" spans="1:21" ht="40.799999999999997">
      <c r="A322" s="6">
        <v>43426.610358796301</v>
      </c>
      <c r="B322" s="7" t="str">
        <f>HYPERLINK("https://twitter.com/Arezno","@Arezno")</f>
        <v>@Arezno</v>
      </c>
      <c r="C322" s="8" t="s">
        <v>1309</v>
      </c>
      <c r="D322" s="9" t="s">
        <v>1310</v>
      </c>
      <c r="E322" s="10" t="str">
        <f>HYPERLINK("https://twitter.com/Arezno/status/1065736412211920896","1065736412211920896")</f>
        <v>1065736412211920896</v>
      </c>
      <c r="F322" s="17" t="s">
        <v>534</v>
      </c>
      <c r="G322" s="11" t="s">
        <v>535</v>
      </c>
      <c r="H322" s="12"/>
      <c r="I322" s="13">
        <v>24</v>
      </c>
      <c r="J322" s="13">
        <v>60</v>
      </c>
      <c r="K322" s="14" t="str">
        <f>HYPERLINK("http://twitter.com/download/android","Twitter for Android")</f>
        <v>Twitter for Android</v>
      </c>
      <c r="L322" s="13">
        <v>51700</v>
      </c>
      <c r="M322" s="13">
        <v>1979</v>
      </c>
      <c r="N322" s="13">
        <v>1203</v>
      </c>
      <c r="O322" s="15"/>
      <c r="P322" s="6">
        <v>39593.235243055555</v>
      </c>
      <c r="Q322" s="17" t="s">
        <v>1311</v>
      </c>
      <c r="R322" s="16" t="s">
        <v>1312</v>
      </c>
      <c r="S322" s="11" t="s">
        <v>1313</v>
      </c>
      <c r="T322" s="12"/>
      <c r="U322" s="10" t="str">
        <f>HYPERLINK("https://pbs.twimg.com/profile_images/892420921042055170/muiAu5BI.jpg","View")</f>
        <v>View</v>
      </c>
    </row>
    <row r="323" spans="1:21" ht="30.6">
      <c r="A323" s="6">
        <v>43426.607812499999</v>
      </c>
      <c r="B323" s="7" t="str">
        <f>HYPERLINK("https://twitter.com/ganeshita","@ganeshita")</f>
        <v>@ganeshita</v>
      </c>
      <c r="C323" s="8" t="s">
        <v>1316</v>
      </c>
      <c r="D323" s="9" t="s">
        <v>1317</v>
      </c>
      <c r="E323" s="10" t="str">
        <f>HYPERLINK("https://twitter.com/ganeshita/status/1065735489158868992","1065735489158868992")</f>
        <v>1065735489158868992</v>
      </c>
      <c r="F323" s="11" t="s">
        <v>962</v>
      </c>
      <c r="G323" s="12"/>
      <c r="H323" s="12"/>
      <c r="I323" s="13">
        <v>0</v>
      </c>
      <c r="J323" s="13">
        <v>0</v>
      </c>
      <c r="K323" s="14" t="str">
        <f>HYPERLINK("http://twitter.com","Twitter Web Client")</f>
        <v>Twitter Web Client</v>
      </c>
      <c r="L323" s="13">
        <v>637</v>
      </c>
      <c r="M323" s="13">
        <v>329</v>
      </c>
      <c r="N323" s="13">
        <v>126</v>
      </c>
      <c r="O323" s="15"/>
      <c r="P323" s="6">
        <v>40506.276898148149</v>
      </c>
      <c r="Q323" s="17" t="s">
        <v>76</v>
      </c>
      <c r="R323" s="16" t="s">
        <v>1319</v>
      </c>
      <c r="S323" s="12"/>
      <c r="T323" s="12"/>
      <c r="U323" s="10" t="str">
        <f>HYPERLINK("https://pbs.twimg.com/profile_images/378800000439972335/21d3f338229eeedb5e0f837e2931ea93.jpeg","View")</f>
        <v>View</v>
      </c>
    </row>
    <row r="324" spans="1:21" ht="40.799999999999997">
      <c r="A324" s="6">
        <v>43426.607314814813</v>
      </c>
      <c r="B324" s="7" t="str">
        <f>HYPERLINK("https://twitter.com/DrDonMrIgnacio","@DrDonMrIgnacio")</f>
        <v>@DrDonMrIgnacio</v>
      </c>
      <c r="C324" s="8" t="s">
        <v>1320</v>
      </c>
      <c r="D324" s="9" t="s">
        <v>1321</v>
      </c>
      <c r="E324" s="10" t="str">
        <f>HYPERLINK("https://twitter.com/DrDonMrIgnacio/status/1065735309390942208","1065735309390942208")</f>
        <v>1065735309390942208</v>
      </c>
      <c r="F324" s="12"/>
      <c r="G324" s="12"/>
      <c r="H324" s="12"/>
      <c r="I324" s="13">
        <v>2</v>
      </c>
      <c r="J324" s="13">
        <v>8</v>
      </c>
      <c r="K324" s="14" t="str">
        <f t="shared" ref="K324:K325" si="63">HYPERLINK("http://twitter.com/download/android","Twitter for Android")</f>
        <v>Twitter for Android</v>
      </c>
      <c r="L324" s="13">
        <v>572</v>
      </c>
      <c r="M324" s="13">
        <v>470</v>
      </c>
      <c r="N324" s="13">
        <v>8</v>
      </c>
      <c r="O324" s="15"/>
      <c r="P324" s="6">
        <v>41093.492372685185</v>
      </c>
      <c r="Q324" s="17" t="s">
        <v>1322</v>
      </c>
      <c r="R324" s="16" t="s">
        <v>1323</v>
      </c>
      <c r="S324" s="12"/>
      <c r="T324" s="12"/>
      <c r="U324" s="10" t="str">
        <f>HYPERLINK("https://pbs.twimg.com/profile_images/988088394365460481/HA0mygrw.jpg","View")</f>
        <v>View</v>
      </c>
    </row>
    <row r="325" spans="1:21" ht="30.6">
      <c r="A325" s="6">
        <v>43426.605671296296</v>
      </c>
      <c r="B325" s="7" t="str">
        <f>HYPERLINK("https://twitter.com/juanhacheuve","@juanhacheuve")</f>
        <v>@juanhacheuve</v>
      </c>
      <c r="C325" s="8" t="s">
        <v>1324</v>
      </c>
      <c r="D325" s="9" t="s">
        <v>45</v>
      </c>
      <c r="E325" s="10" t="str">
        <f>HYPERLINK("https://twitter.com/juanhacheuve/status/1065734712742817792","1065734712742817792")</f>
        <v>1065734712742817792</v>
      </c>
      <c r="F325" s="11" t="s">
        <v>47</v>
      </c>
      <c r="G325" s="12"/>
      <c r="H325" s="12"/>
      <c r="I325" s="13">
        <v>0</v>
      </c>
      <c r="J325" s="13">
        <v>0</v>
      </c>
      <c r="K325" s="14" t="str">
        <f t="shared" si="63"/>
        <v>Twitter for Android</v>
      </c>
      <c r="L325" s="13">
        <v>117</v>
      </c>
      <c r="M325" s="13">
        <v>220</v>
      </c>
      <c r="N325" s="13">
        <v>5</v>
      </c>
      <c r="O325" s="15"/>
      <c r="P325" s="6">
        <v>40485.628125000003</v>
      </c>
      <c r="Q325" s="17" t="s">
        <v>1325</v>
      </c>
      <c r="R325" s="16" t="s">
        <v>1326</v>
      </c>
      <c r="S325" s="11" t="s">
        <v>1327</v>
      </c>
      <c r="T325" s="12"/>
      <c r="U325" s="10" t="str">
        <f>HYPERLINK("https://pbs.twimg.com/profile_images/2837251306/f877e46c035e1ab358d88c7f46a67811.png","View")</f>
        <v>View</v>
      </c>
    </row>
    <row r="326" spans="1:21" ht="20.399999999999999">
      <c r="A326" s="6">
        <v>43426.60555555555</v>
      </c>
      <c r="B326" s="7" t="str">
        <f>HYPERLINK("https://twitter.com/eldiarioes","@eldiarioes")</f>
        <v>@eldiarioes</v>
      </c>
      <c r="C326" s="20" t="s">
        <v>687</v>
      </c>
      <c r="D326" s="9" t="s">
        <v>1328</v>
      </c>
      <c r="E326" s="10" t="str">
        <f>HYPERLINK("https://twitter.com/eldiarioes/status/1065734670195859456","1065734670195859456")</f>
        <v>1065734670195859456</v>
      </c>
      <c r="F326" s="11" t="s">
        <v>962</v>
      </c>
      <c r="G326" s="11" t="s">
        <v>535</v>
      </c>
      <c r="H326" s="12"/>
      <c r="I326" s="13">
        <v>50</v>
      </c>
      <c r="J326" s="13">
        <v>47</v>
      </c>
      <c r="K326" s="14" t="str">
        <f>HYPERLINK("https://about.twitter.com/products/tweetdeck","TweetDeck")</f>
        <v>TweetDeck</v>
      </c>
      <c r="L326" s="13">
        <v>936615</v>
      </c>
      <c r="M326" s="13">
        <v>456</v>
      </c>
      <c r="N326" s="13">
        <v>11235</v>
      </c>
      <c r="O326" s="19" t="s">
        <v>74</v>
      </c>
      <c r="P326" s="6">
        <v>40992.505856481483</v>
      </c>
      <c r="Q326" s="12"/>
      <c r="R326" s="16" t="s">
        <v>692</v>
      </c>
      <c r="S326" s="11" t="s">
        <v>693</v>
      </c>
      <c r="T326" s="12"/>
      <c r="U326" s="10" t="str">
        <f>HYPERLINK("https://pbs.twimg.com/profile_images/1016600645292511232/eYIkIK2s.jpg","View")</f>
        <v>View</v>
      </c>
    </row>
    <row r="327" spans="1:21" ht="51">
      <c r="A327" s="6">
        <v>43426.60528935185</v>
      </c>
      <c r="B327" s="7" t="str">
        <f>HYPERLINK("https://twitter.com/josemarxtinez","@josemarxtinez")</f>
        <v>@josemarxtinez</v>
      </c>
      <c r="C327" s="8" t="s">
        <v>1279</v>
      </c>
      <c r="D327" s="9" t="s">
        <v>1329</v>
      </c>
      <c r="E327" s="10" t="str">
        <f>HYPERLINK("https://twitter.com/josemarxtinez/status/1065734575471685632","1065734575471685632")</f>
        <v>1065734575471685632</v>
      </c>
      <c r="F327" s="12"/>
      <c r="G327" s="12"/>
      <c r="H327" s="12"/>
      <c r="I327" s="13">
        <v>0</v>
      </c>
      <c r="J327" s="13">
        <v>0</v>
      </c>
      <c r="K327" s="14" t="str">
        <f>HYPERLINK("http://twitter.com","Twitter Web Client")</f>
        <v>Twitter Web Client</v>
      </c>
      <c r="L327" s="13">
        <v>151</v>
      </c>
      <c r="M327" s="13">
        <v>366</v>
      </c>
      <c r="N327" s="13">
        <v>0</v>
      </c>
      <c r="O327" s="15"/>
      <c r="P327" s="6">
        <v>43272.691655092596</v>
      </c>
      <c r="Q327" s="12"/>
      <c r="R327" s="16" t="s">
        <v>1281</v>
      </c>
      <c r="S327" s="12"/>
      <c r="T327" s="12"/>
      <c r="U327" s="10" t="str">
        <f>HYPERLINK("https://pbs.twimg.com/profile_images/1009945066654388225/3HfHNcCx.jpg","View")</f>
        <v>View</v>
      </c>
    </row>
    <row r="328" spans="1:21" ht="40.799999999999997">
      <c r="A328" s="6">
        <v>43426.604861111111</v>
      </c>
      <c r="B328" s="7" t="str">
        <f>HYPERLINK("https://twitter.com/elnacionalcat_e","@elnacionalcat_e")</f>
        <v>@elnacionalcat_e</v>
      </c>
      <c r="C328" s="8" t="s">
        <v>776</v>
      </c>
      <c r="D328" s="9" t="s">
        <v>1332</v>
      </c>
      <c r="E328" s="10" t="str">
        <f>HYPERLINK("https://twitter.com/elnacionalcat_e/status/1065734418399145984","1065734418399145984")</f>
        <v>1065734418399145984</v>
      </c>
      <c r="F328" s="11" t="s">
        <v>677</v>
      </c>
      <c r="G328" s="12"/>
      <c r="H328" s="12"/>
      <c r="I328" s="13">
        <v>1</v>
      </c>
      <c r="J328" s="13">
        <v>0</v>
      </c>
      <c r="K328" s="14" t="str">
        <f>HYPERLINK("https://about.twitter.com/products/tweetdeck","TweetDeck")</f>
        <v>TweetDeck</v>
      </c>
      <c r="L328" s="13">
        <v>5489</v>
      </c>
      <c r="M328" s="13">
        <v>355</v>
      </c>
      <c r="N328" s="13">
        <v>167</v>
      </c>
      <c r="O328" s="15"/>
      <c r="P328" s="6">
        <v>42247.465567129635</v>
      </c>
      <c r="Q328" s="17" t="s">
        <v>638</v>
      </c>
      <c r="R328" s="16" t="s">
        <v>778</v>
      </c>
      <c r="S328" s="11" t="s">
        <v>779</v>
      </c>
      <c r="T328" s="12"/>
      <c r="U328" s="10" t="str">
        <f>HYPERLINK("https://pbs.twimg.com/profile_images/646298514385960960/VEutSP7L.png","View")</f>
        <v>View</v>
      </c>
    </row>
    <row r="329" spans="1:21" ht="51">
      <c r="A329" s="6">
        <v>43426.601504629631</v>
      </c>
      <c r="B329" s="7" t="str">
        <f>HYPERLINK("https://twitter.com/flagelarte","@flagelarte")</f>
        <v>@flagelarte</v>
      </c>
      <c r="C329" s="8" t="s">
        <v>1333</v>
      </c>
      <c r="D329" s="9" t="s">
        <v>1334</v>
      </c>
      <c r="E329" s="10" t="str">
        <f>HYPERLINK("https://twitter.com/flagelarte/status/1065733200545239040","1065733200545239040")</f>
        <v>1065733200545239040</v>
      </c>
      <c r="F329" s="11" t="s">
        <v>1335</v>
      </c>
      <c r="G329" s="12"/>
      <c r="H329" s="12"/>
      <c r="I329" s="13">
        <v>0</v>
      </c>
      <c r="J329" s="13">
        <v>0</v>
      </c>
      <c r="K329" s="14" t="str">
        <f>HYPERLINK("http://twitter.com/#!/download/ipad","Twitter for iPad")</f>
        <v>Twitter for iPad</v>
      </c>
      <c r="L329" s="13">
        <v>464</v>
      </c>
      <c r="M329" s="13">
        <v>425</v>
      </c>
      <c r="N329" s="13">
        <v>17</v>
      </c>
      <c r="O329" s="15"/>
      <c r="P329" s="6">
        <v>40626.469143518516</v>
      </c>
      <c r="Q329" s="12"/>
      <c r="R329" s="16" t="s">
        <v>1336</v>
      </c>
      <c r="S329" s="12"/>
      <c r="T329" s="12"/>
      <c r="U329" s="10" t="str">
        <f>HYPERLINK("https://pbs.twimg.com/profile_images/1064791752823984131/uDB5MZK3.jpg","View")</f>
        <v>View</v>
      </c>
    </row>
    <row r="330" spans="1:21" ht="30.6">
      <c r="A330" s="6">
        <v>43426.600844907407</v>
      </c>
      <c r="B330" s="7" t="str">
        <f>HYPERLINK("https://twitter.com/miguelguerrer17","@miguelguerrer17")</f>
        <v>@miguelguerrer17</v>
      </c>
      <c r="C330" s="8" t="s">
        <v>1337</v>
      </c>
      <c r="D330" s="9" t="s">
        <v>45</v>
      </c>
      <c r="E330" s="10" t="str">
        <f>HYPERLINK("https://twitter.com/miguelguerrer17/status/1065732964720488448","1065732964720488448")</f>
        <v>1065732964720488448</v>
      </c>
      <c r="F330" s="11" t="s">
        <v>47</v>
      </c>
      <c r="G330" s="12"/>
      <c r="H330" s="12"/>
      <c r="I330" s="13">
        <v>0</v>
      </c>
      <c r="J330" s="13">
        <v>0</v>
      </c>
      <c r="K330" s="14" t="str">
        <f t="shared" ref="K330:K335" si="64">HYPERLINK("http://twitter.com/download/android","Twitter for Android")</f>
        <v>Twitter for Android</v>
      </c>
      <c r="L330" s="13">
        <v>1142</v>
      </c>
      <c r="M330" s="13">
        <v>866</v>
      </c>
      <c r="N330" s="13">
        <v>16</v>
      </c>
      <c r="O330" s="15"/>
      <c r="P330" s="6">
        <v>40723.486678240741</v>
      </c>
      <c r="Q330" s="17" t="s">
        <v>1338</v>
      </c>
      <c r="R330" s="16" t="s">
        <v>1339</v>
      </c>
      <c r="S330" s="12"/>
      <c r="T330" s="12"/>
      <c r="U330" s="10" t="str">
        <f>HYPERLINK("https://pbs.twimg.com/profile_images/2296680408/xo2a0vildn2kpgw3veyh.jpeg","View")</f>
        <v>View</v>
      </c>
    </row>
    <row r="331" spans="1:21" ht="30.6">
      <c r="A331" s="6">
        <v>43426.598217592589</v>
      </c>
      <c r="B331" s="7" t="str">
        <f>HYPERLINK("https://twitter.com/Almudenamarea","@Almudenamarea")</f>
        <v>@Almudenamarea</v>
      </c>
      <c r="C331" s="8" t="s">
        <v>1340</v>
      </c>
      <c r="D331" s="9" t="s">
        <v>45</v>
      </c>
      <c r="E331" s="10" t="str">
        <f>HYPERLINK("https://twitter.com/Almudenamarea/status/1065732013007753217","1065732013007753217")</f>
        <v>1065732013007753217</v>
      </c>
      <c r="F331" s="11" t="s">
        <v>84</v>
      </c>
      <c r="G331" s="12"/>
      <c r="H331" s="12"/>
      <c r="I331" s="13">
        <v>0</v>
      </c>
      <c r="J331" s="13">
        <v>0</v>
      </c>
      <c r="K331" s="14" t="str">
        <f t="shared" si="64"/>
        <v>Twitter for Android</v>
      </c>
      <c r="L331" s="13">
        <v>358</v>
      </c>
      <c r="M331" s="13">
        <v>217</v>
      </c>
      <c r="N331" s="13">
        <v>26</v>
      </c>
      <c r="O331" s="15"/>
      <c r="P331" s="6">
        <v>41009.447754629626</v>
      </c>
      <c r="Q331" s="12"/>
      <c r="R331" s="16" t="s">
        <v>1341</v>
      </c>
      <c r="S331" s="12"/>
      <c r="T331" s="12"/>
      <c r="U331" s="10" t="str">
        <f>HYPERLINK("https://pbs.twimg.com/profile_images/2780701534/dcdc99f81e9060f40d614b3d534984f0.jpeg","View")</f>
        <v>View</v>
      </c>
    </row>
    <row r="332" spans="1:21" ht="30.6">
      <c r="A332" s="6">
        <v>43426.596828703703</v>
      </c>
      <c r="B332" s="7" t="str">
        <f>HYPERLINK("https://twitter.com/JessMar74026841","@JessMar74026841")</f>
        <v>@JessMar74026841</v>
      </c>
      <c r="C332" s="8" t="s">
        <v>1342</v>
      </c>
      <c r="D332" s="9" t="s">
        <v>1343</v>
      </c>
      <c r="E332" s="10" t="str">
        <f>HYPERLINK("https://twitter.com/JessMar74026841/status/1065731509053730816","1065731509053730816")</f>
        <v>1065731509053730816</v>
      </c>
      <c r="F332" s="12"/>
      <c r="G332" s="11" t="s">
        <v>1344</v>
      </c>
      <c r="H332" s="12"/>
      <c r="I332" s="13">
        <v>287</v>
      </c>
      <c r="J332" s="13">
        <v>540</v>
      </c>
      <c r="K332" s="14" t="str">
        <f t="shared" si="64"/>
        <v>Twitter for Android</v>
      </c>
      <c r="L332" s="13">
        <v>246</v>
      </c>
      <c r="M332" s="13">
        <v>302</v>
      </c>
      <c r="N332" s="13">
        <v>0</v>
      </c>
      <c r="O332" s="15"/>
      <c r="P332" s="6">
        <v>43421.625127314815</v>
      </c>
      <c r="Q332" s="12"/>
      <c r="R332" s="16" t="s">
        <v>1345</v>
      </c>
      <c r="S332" s="12"/>
      <c r="T332" s="12"/>
      <c r="U332" s="10" t="str">
        <f>HYPERLINK("https://pbs.twimg.com/profile_images/1063952006702866432/DG4QTJf2.jpg","View")</f>
        <v>View</v>
      </c>
    </row>
    <row r="333" spans="1:21" ht="30.6">
      <c r="A333" s="6">
        <v>43426.595081018517</v>
      </c>
      <c r="B333" s="7" t="str">
        <f>HYPERLINK("https://twitter.com/Miguel_Izu","@Miguel_Izu")</f>
        <v>@Miguel_Izu</v>
      </c>
      <c r="C333" s="8" t="s">
        <v>1346</v>
      </c>
      <c r="D333" s="9" t="s">
        <v>45</v>
      </c>
      <c r="E333" s="10" t="str">
        <f>HYPERLINK("https://twitter.com/Miguel_Izu/status/1065730872823947264","1065730872823947264")</f>
        <v>1065730872823947264</v>
      </c>
      <c r="F333" s="11" t="s">
        <v>47</v>
      </c>
      <c r="G333" s="12"/>
      <c r="H333" s="12"/>
      <c r="I333" s="13">
        <v>0</v>
      </c>
      <c r="J333" s="13">
        <v>1</v>
      </c>
      <c r="K333" s="14" t="str">
        <f t="shared" si="64"/>
        <v>Twitter for Android</v>
      </c>
      <c r="L333" s="13">
        <v>509</v>
      </c>
      <c r="M333" s="13">
        <v>311</v>
      </c>
      <c r="N333" s="13">
        <v>8</v>
      </c>
      <c r="O333" s="15"/>
      <c r="P333" s="6">
        <v>41962.506226851852</v>
      </c>
      <c r="Q333" s="17" t="s">
        <v>1347</v>
      </c>
      <c r="R333" s="16" t="s">
        <v>1348</v>
      </c>
      <c r="S333" s="11" t="s">
        <v>1349</v>
      </c>
      <c r="T333" s="12"/>
      <c r="U333" s="10" t="str">
        <f>HYPERLINK("https://pbs.twimg.com/profile_images/535164217326698496/8-SwCE-E.jpeg","View")</f>
        <v>View</v>
      </c>
    </row>
    <row r="334" spans="1:21" ht="40.799999999999997">
      <c r="A334" s="6">
        <v>43426.594328703708</v>
      </c>
      <c r="B334" s="7" t="str">
        <f>HYPERLINK("https://twitter.com/caval100","@caval100")</f>
        <v>@caval100</v>
      </c>
      <c r="C334" s="8" t="s">
        <v>1350</v>
      </c>
      <c r="D334" s="9" t="s">
        <v>1351</v>
      </c>
      <c r="E334" s="10" t="str">
        <f>HYPERLINK("https://twitter.com/caval100/status/1065730600819146752","1065730600819146752")</f>
        <v>1065730600819146752</v>
      </c>
      <c r="F334" s="11" t="s">
        <v>267</v>
      </c>
      <c r="G334" s="12"/>
      <c r="H334" s="12"/>
      <c r="I334" s="13">
        <v>18</v>
      </c>
      <c r="J334" s="13">
        <v>21</v>
      </c>
      <c r="K334" s="14" t="str">
        <f t="shared" si="64"/>
        <v>Twitter for Android</v>
      </c>
      <c r="L334" s="13">
        <v>119224</v>
      </c>
      <c r="M334" s="13">
        <v>94076</v>
      </c>
      <c r="N334" s="13">
        <v>980</v>
      </c>
      <c r="O334" s="15"/>
      <c r="P334" s="6">
        <v>40079.062094907407</v>
      </c>
      <c r="Q334" s="17" t="s">
        <v>971</v>
      </c>
      <c r="R334" s="16" t="s">
        <v>1352</v>
      </c>
      <c r="S334" s="11" t="s">
        <v>1353</v>
      </c>
      <c r="T334" s="12"/>
      <c r="U334" s="10" t="str">
        <f>HYPERLINK("https://pbs.twimg.com/profile_images/965350678301429760/uvGI7g8U.jpg","View")</f>
        <v>View</v>
      </c>
    </row>
    <row r="335" spans="1:21" ht="20.399999999999999">
      <c r="A335" s="6">
        <v>43426.593229166669</v>
      </c>
      <c r="B335" s="7" t="str">
        <f>HYPERLINK("https://twitter.com/Oa_Xavier","@Oa_Xavier")</f>
        <v>@Oa_Xavier</v>
      </c>
      <c r="C335" s="8" t="s">
        <v>1354</v>
      </c>
      <c r="D335" s="9" t="s">
        <v>1355</v>
      </c>
      <c r="E335" s="10" t="str">
        <f>HYPERLINK("https://twitter.com/Oa_Xavier/status/1065730202741981184","1065730202741981184")</f>
        <v>1065730202741981184</v>
      </c>
      <c r="F335" s="12"/>
      <c r="G335" s="12"/>
      <c r="H335" s="12"/>
      <c r="I335" s="13">
        <v>0</v>
      </c>
      <c r="J335" s="13">
        <v>0</v>
      </c>
      <c r="K335" s="14" t="str">
        <f t="shared" si="64"/>
        <v>Twitter for Android</v>
      </c>
      <c r="L335" s="13">
        <v>5</v>
      </c>
      <c r="M335" s="13">
        <v>35</v>
      </c>
      <c r="N335" s="13">
        <v>0</v>
      </c>
      <c r="O335" s="15"/>
      <c r="P335" s="6">
        <v>43357.574224537035</v>
      </c>
      <c r="Q335" s="17" t="s">
        <v>1356</v>
      </c>
      <c r="R335" s="16" t="s">
        <v>1357</v>
      </c>
      <c r="S335" s="12"/>
      <c r="T335" s="12"/>
      <c r="U335" s="10" t="str">
        <f>HYPERLINK("https://pbs.twimg.com/profile_images/1065645712954851328/-KQa3pf9.jpg","View")</f>
        <v>View</v>
      </c>
    </row>
    <row r="336" spans="1:21" ht="20.399999999999999">
      <c r="A336" s="6">
        <v>43426.59103009259</v>
      </c>
      <c r="B336" s="7" t="str">
        <f>HYPERLINK("https://twitter.com/__Gonzalos__","@__Gonzalos__")</f>
        <v>@__Gonzalos__</v>
      </c>
      <c r="C336" s="8" t="s">
        <v>1358</v>
      </c>
      <c r="D336" s="9" t="s">
        <v>41</v>
      </c>
      <c r="E336" s="10" t="str">
        <f>HYPERLINK("https://twitter.com/__Gonzalos__/status/1065729405039845376","1065729405039845376")</f>
        <v>1065729405039845376</v>
      </c>
      <c r="F336" s="11" t="s">
        <v>42</v>
      </c>
      <c r="G336" s="12"/>
      <c r="H336" s="12"/>
      <c r="I336" s="13">
        <v>3</v>
      </c>
      <c r="J336" s="13">
        <v>0</v>
      </c>
      <c r="K336" s="14" t="str">
        <f>HYPERLINK("http://twitter.com/download/iphone","Twitter for iPhone")</f>
        <v>Twitter for iPhone</v>
      </c>
      <c r="L336" s="13">
        <v>6035</v>
      </c>
      <c r="M336" s="13">
        <v>5791</v>
      </c>
      <c r="N336" s="13">
        <v>59</v>
      </c>
      <c r="O336" s="15"/>
      <c r="P336" s="6">
        <v>41309.141064814816</v>
      </c>
      <c r="Q336" s="12"/>
      <c r="R336" s="16" t="s">
        <v>1359</v>
      </c>
      <c r="S336" s="12"/>
      <c r="T336" s="12"/>
      <c r="U336" s="10" t="str">
        <f>HYPERLINK("https://pbs.twimg.com/profile_images/972941233646653440/g_gq2J8w.jpg","View")</f>
        <v>View</v>
      </c>
    </row>
    <row r="337" spans="1:21" ht="30.6">
      <c r="A337" s="6">
        <v>43426.587789351848</v>
      </c>
      <c r="B337" s="7" t="str">
        <f>HYPERLINK("https://twitter.com/PortoPar","@PortoPar")</f>
        <v>@PortoPar</v>
      </c>
      <c r="C337" s="8" t="s">
        <v>1360</v>
      </c>
      <c r="D337" s="9" t="s">
        <v>266</v>
      </c>
      <c r="E337" s="10" t="str">
        <f>HYPERLINK("https://twitter.com/PortoPar/status/1065728230244696064","1065728230244696064")</f>
        <v>1065728230244696064</v>
      </c>
      <c r="F337" s="11" t="s">
        <v>292</v>
      </c>
      <c r="G337" s="12"/>
      <c r="H337" s="12"/>
      <c r="I337" s="13">
        <v>0</v>
      </c>
      <c r="J337" s="13">
        <v>0</v>
      </c>
      <c r="K337" s="14" t="str">
        <f t="shared" ref="K337:K339" si="65">HYPERLINK("http://twitter.com/download/android","Twitter for Android")</f>
        <v>Twitter for Android</v>
      </c>
      <c r="L337" s="13">
        <v>616</v>
      </c>
      <c r="M337" s="13">
        <v>1428</v>
      </c>
      <c r="N337" s="13">
        <v>13</v>
      </c>
      <c r="O337" s="15"/>
      <c r="P337" s="6">
        <v>41980.47592592593</v>
      </c>
      <c r="Q337" s="12"/>
      <c r="R337" s="18"/>
      <c r="S337" s="12"/>
      <c r="T337" s="12"/>
      <c r="U337" s="10" t="str">
        <f>HYPERLINK("https://pbs.twimg.com/profile_images/1015269490362343427/t4DeOwbO.jpg","View")</f>
        <v>View</v>
      </c>
    </row>
    <row r="338" spans="1:21" ht="30.6">
      <c r="A338" s="6">
        <v>43426.585983796293</v>
      </c>
      <c r="B338" s="7" t="str">
        <f>HYPERLINK("https://twitter.com/Xuxipc","@Xuxipc")</f>
        <v>@Xuxipc</v>
      </c>
      <c r="C338" s="8" t="s">
        <v>1361</v>
      </c>
      <c r="D338" s="9" t="s">
        <v>1362</v>
      </c>
      <c r="E338" s="10" t="str">
        <f>HYPERLINK("https://twitter.com/Xuxipc/status/1065727577246060545","1065727577246060545")</f>
        <v>1065727577246060545</v>
      </c>
      <c r="F338" s="12"/>
      <c r="G338" s="12"/>
      <c r="H338" s="12"/>
      <c r="I338" s="13">
        <v>640</v>
      </c>
      <c r="J338" s="13">
        <v>1677</v>
      </c>
      <c r="K338" s="14" t="str">
        <f t="shared" si="65"/>
        <v>Twitter for Android</v>
      </c>
      <c r="L338" s="13">
        <v>182356</v>
      </c>
      <c r="M338" s="13">
        <v>280</v>
      </c>
      <c r="N338" s="13">
        <v>1244</v>
      </c>
      <c r="O338" s="15"/>
      <c r="P338" s="6">
        <v>41297.293078703704</v>
      </c>
      <c r="Q338" s="17" t="s">
        <v>1363</v>
      </c>
      <c r="R338" s="16" t="s">
        <v>1364</v>
      </c>
      <c r="S338" s="11" t="s">
        <v>1365</v>
      </c>
      <c r="T338" s="12"/>
      <c r="U338" s="10" t="str">
        <f>HYPERLINK("https://pbs.twimg.com/profile_images/1060442492217290752/p4rkMs-Y.jpg","View")</f>
        <v>View</v>
      </c>
    </row>
    <row r="339" spans="1:21" ht="40.799999999999997">
      <c r="A339" s="6">
        <v>43426.58594907407</v>
      </c>
      <c r="B339" s="7" t="str">
        <f>HYPERLINK("https://twitter.com/MaiteDonosti","@MaiteDonosti")</f>
        <v>@MaiteDonosti</v>
      </c>
      <c r="C339" s="8" t="s">
        <v>1366</v>
      </c>
      <c r="D339" s="9" t="s">
        <v>189</v>
      </c>
      <c r="E339" s="10" t="str">
        <f>HYPERLINK("https://twitter.com/MaiteDonosti/status/1065727563958489088","1065727563958489088")</f>
        <v>1065727563958489088</v>
      </c>
      <c r="F339" s="11" t="s">
        <v>190</v>
      </c>
      <c r="G339" s="12"/>
      <c r="H339" s="12"/>
      <c r="I339" s="13">
        <v>0</v>
      </c>
      <c r="J339" s="13">
        <v>0</v>
      </c>
      <c r="K339" s="14" t="str">
        <f t="shared" si="65"/>
        <v>Twitter for Android</v>
      </c>
      <c r="L339" s="13">
        <v>111</v>
      </c>
      <c r="M339" s="13">
        <v>270</v>
      </c>
      <c r="N339" s="13">
        <v>6</v>
      </c>
      <c r="O339" s="15"/>
      <c r="P339" s="6">
        <v>40463.459548611107</v>
      </c>
      <c r="Q339" s="17" t="s">
        <v>1367</v>
      </c>
      <c r="R339" s="16" t="s">
        <v>1368</v>
      </c>
      <c r="S339" s="12"/>
      <c r="T339" s="12"/>
      <c r="U339" s="10" t="str">
        <f>HYPERLINK("https://pbs.twimg.com/profile_images/973663217187770368/mDPJYgl8.jpg","View")</f>
        <v>View</v>
      </c>
    </row>
    <row r="340" spans="1:21" ht="30.6">
      <c r="A340" s="6">
        <v>43426.585486111115</v>
      </c>
      <c r="B340" s="7" t="str">
        <f>HYPERLINK("https://twitter.com/estfar","@estfar")</f>
        <v>@estfar</v>
      </c>
      <c r="C340" s="8" t="s">
        <v>1369</v>
      </c>
      <c r="D340" s="9" t="s">
        <v>1370</v>
      </c>
      <c r="E340" s="10" t="str">
        <f>HYPERLINK("https://twitter.com/estfar/status/1065727399130730496","1065727399130730496")</f>
        <v>1065727399130730496</v>
      </c>
      <c r="F340" s="11" t="s">
        <v>292</v>
      </c>
      <c r="G340" s="12"/>
      <c r="H340" s="12"/>
      <c r="I340" s="13">
        <v>0</v>
      </c>
      <c r="J340" s="13">
        <v>0</v>
      </c>
      <c r="K340" s="14" t="str">
        <f>HYPERLINK("http://twitter.com/download/iphone","Twitter for iPhone")</f>
        <v>Twitter for iPhone</v>
      </c>
      <c r="L340" s="13">
        <v>118</v>
      </c>
      <c r="M340" s="13">
        <v>576</v>
      </c>
      <c r="N340" s="13">
        <v>6</v>
      </c>
      <c r="O340" s="15"/>
      <c r="P340" s="6">
        <v>40679.176041666666</v>
      </c>
      <c r="Q340" s="17" t="s">
        <v>76</v>
      </c>
      <c r="R340" s="16" t="s">
        <v>1372</v>
      </c>
      <c r="S340" s="12"/>
      <c r="T340" s="12"/>
      <c r="U340" s="10" t="str">
        <f>HYPERLINK("https://pbs.twimg.com/profile_images/1364922462/image.jpg","View")</f>
        <v>View</v>
      </c>
    </row>
    <row r="341" spans="1:21" ht="30.6">
      <c r="A341" s="6">
        <v>43426.585138888884</v>
      </c>
      <c r="B341" s="7" t="str">
        <f>HYPERLINK("https://twitter.com/ElHuffPost","@ElHuffPost")</f>
        <v>@ElHuffPost</v>
      </c>
      <c r="C341" s="8" t="s">
        <v>467</v>
      </c>
      <c r="D341" s="9" t="s">
        <v>1375</v>
      </c>
      <c r="E341" s="10" t="str">
        <f>HYPERLINK("https://twitter.com/ElHuffPost/status/1065727269744898048","1065727269744898048")</f>
        <v>1065727269744898048</v>
      </c>
      <c r="F341" s="11" t="s">
        <v>469</v>
      </c>
      <c r="G341" s="12"/>
      <c r="H341" s="12"/>
      <c r="I341" s="13">
        <v>5</v>
      </c>
      <c r="J341" s="13">
        <v>4</v>
      </c>
      <c r="K341" s="14" t="str">
        <f t="shared" ref="K341:K343" si="66">HYPERLINK("http://twitter.com","Twitter Web Client")</f>
        <v>Twitter Web Client</v>
      </c>
      <c r="L341" s="13">
        <v>430323</v>
      </c>
      <c r="M341" s="13">
        <v>1532</v>
      </c>
      <c r="N341" s="13">
        <v>8186</v>
      </c>
      <c r="O341" s="19" t="s">
        <v>74</v>
      </c>
      <c r="P341" s="6">
        <v>40784.652118055557</v>
      </c>
      <c r="Q341" s="17" t="s">
        <v>203</v>
      </c>
      <c r="R341" s="16" t="s">
        <v>471</v>
      </c>
      <c r="S341" s="11" t="s">
        <v>472</v>
      </c>
      <c r="T341" s="12"/>
      <c r="U341" s="10" t="str">
        <f>HYPERLINK("https://pbs.twimg.com/profile_images/921140803422089217/ETOEUOAx.jpg","View")</f>
        <v>View</v>
      </c>
    </row>
    <row r="342" spans="1:21" ht="30.6">
      <c r="A342" s="6">
        <v>43426.584861111114</v>
      </c>
      <c r="B342" s="7" t="str">
        <f>HYPERLINK("https://twitter.com/Platero22","@Platero22")</f>
        <v>@Platero22</v>
      </c>
      <c r="C342" s="8" t="s">
        <v>1376</v>
      </c>
      <c r="D342" s="9" t="s">
        <v>45</v>
      </c>
      <c r="E342" s="10" t="str">
        <f>HYPERLINK("https://twitter.com/Platero22/status/1065727169870090240","1065727169870090240")</f>
        <v>1065727169870090240</v>
      </c>
      <c r="F342" s="11" t="s">
        <v>84</v>
      </c>
      <c r="G342" s="12"/>
      <c r="H342" s="12"/>
      <c r="I342" s="13">
        <v>1</v>
      </c>
      <c r="J342" s="13">
        <v>2</v>
      </c>
      <c r="K342" s="14" t="str">
        <f t="shared" si="66"/>
        <v>Twitter Web Client</v>
      </c>
      <c r="L342" s="13">
        <v>1680</v>
      </c>
      <c r="M342" s="13">
        <v>1273</v>
      </c>
      <c r="N342" s="13">
        <v>20</v>
      </c>
      <c r="O342" s="15"/>
      <c r="P342" s="6">
        <v>40014.197615740741</v>
      </c>
      <c r="Q342" s="17" t="s">
        <v>902</v>
      </c>
      <c r="R342" s="16" t="s">
        <v>1377</v>
      </c>
      <c r="S342" s="12"/>
      <c r="T342" s="12"/>
      <c r="U342" s="10" t="str">
        <f>HYPERLINK("https://pbs.twimg.com/profile_images/737661162322571264/PUo7QEJ-.jpg","View")</f>
        <v>View</v>
      </c>
    </row>
    <row r="343" spans="1:21" ht="51">
      <c r="A343" s="6">
        <v>43426.58194444445</v>
      </c>
      <c r="B343" s="7" t="str">
        <f>HYPERLINK("https://twitter.com/eltivipata","@eltivipata")</f>
        <v>@eltivipata</v>
      </c>
      <c r="C343" s="8" t="s">
        <v>1378</v>
      </c>
      <c r="D343" s="9" t="s">
        <v>1379</v>
      </c>
      <c r="E343" s="10" t="str">
        <f>HYPERLINK("https://twitter.com/eltivipata/status/1065726115539488768","1065726115539488768")</f>
        <v>1065726115539488768</v>
      </c>
      <c r="F343" s="12"/>
      <c r="G343" s="12"/>
      <c r="H343" s="12"/>
      <c r="I343" s="13">
        <v>14</v>
      </c>
      <c r="J343" s="13">
        <v>31</v>
      </c>
      <c r="K343" s="14" t="str">
        <f t="shared" si="66"/>
        <v>Twitter Web Client</v>
      </c>
      <c r="L343" s="13">
        <v>17277</v>
      </c>
      <c r="M343" s="13">
        <v>826</v>
      </c>
      <c r="N343" s="13">
        <v>196</v>
      </c>
      <c r="O343" s="15"/>
      <c r="P343" s="6">
        <v>42036.501319444447</v>
      </c>
      <c r="Q343" s="12"/>
      <c r="R343" s="16" t="s">
        <v>1380</v>
      </c>
      <c r="S343" s="11" t="s">
        <v>1381</v>
      </c>
      <c r="T343" s="12"/>
      <c r="U343" s="10" t="str">
        <f>HYPERLINK("https://pbs.twimg.com/profile_images/1023674286723289088/Po12eeSC.jpg","View")</f>
        <v>View</v>
      </c>
    </row>
    <row r="344" spans="1:21" ht="20.399999999999999">
      <c r="A344" s="6">
        <v>43426.579710648148</v>
      </c>
      <c r="B344" s="7" t="str">
        <f t="shared" ref="B344:B348" si="67">HYPERLINK("https://twitter.com/Lagaceta08","@Lagaceta08")</f>
        <v>@Lagaceta08</v>
      </c>
      <c r="C344" s="8" t="s">
        <v>1382</v>
      </c>
      <c r="D344" s="9" t="s">
        <v>1383</v>
      </c>
      <c r="E344" s="10" t="str">
        <f>HYPERLINK("https://twitter.com/Lagaceta08/status/1065725303161593858","1065725303161593858")</f>
        <v>1065725303161593858</v>
      </c>
      <c r="F344" s="11" t="s">
        <v>1384</v>
      </c>
      <c r="G344" s="11" t="s">
        <v>1385</v>
      </c>
      <c r="H344" s="12"/>
      <c r="I344" s="13">
        <v>0</v>
      </c>
      <c r="J344" s="13">
        <v>0</v>
      </c>
      <c r="K344" s="14" t="str">
        <f>HYPERLINK("http://www.lagacetadealmeria.com/","Autopublicacion gaceta")</f>
        <v>Autopublicacion gaceta</v>
      </c>
      <c r="L344" s="13">
        <v>2505</v>
      </c>
      <c r="M344" s="13">
        <v>3600</v>
      </c>
      <c r="N344" s="13">
        <v>54</v>
      </c>
      <c r="O344" s="15"/>
      <c r="P344" s="6">
        <v>40834.4453125</v>
      </c>
      <c r="Q344" s="17" t="s">
        <v>1386</v>
      </c>
      <c r="R344" s="16" t="s">
        <v>1387</v>
      </c>
      <c r="S344" s="11" t="s">
        <v>1388</v>
      </c>
      <c r="T344" s="12"/>
      <c r="U344" s="10" t="str">
        <f t="shared" ref="U344:U348" si="68">HYPERLINK("https://pbs.twimg.com/profile_images/1783120022/image.jpg","View")</f>
        <v>View</v>
      </c>
    </row>
    <row r="345" spans="1:21" ht="30.6">
      <c r="A345" s="6">
        <v>43426.579699074078</v>
      </c>
      <c r="B345" s="7" t="str">
        <f t="shared" si="67"/>
        <v>@Lagaceta08</v>
      </c>
      <c r="C345" s="8" t="s">
        <v>1382</v>
      </c>
      <c r="D345" s="9" t="s">
        <v>1389</v>
      </c>
      <c r="E345" s="10" t="str">
        <f>HYPERLINK("https://twitter.com/Lagaceta08/status/1065725302079479808","1065725302079479808")</f>
        <v>1065725302079479808</v>
      </c>
      <c r="F345" s="11" t="s">
        <v>1384</v>
      </c>
      <c r="G345" s="12"/>
      <c r="H345" s="12"/>
      <c r="I345" s="13">
        <v>0</v>
      </c>
      <c r="J345" s="13">
        <v>0</v>
      </c>
      <c r="K345" s="14" t="str">
        <f>HYPERLINK("http://www.facebook.com/twitter","Facebook")</f>
        <v>Facebook</v>
      </c>
      <c r="L345" s="13">
        <v>2505</v>
      </c>
      <c r="M345" s="13">
        <v>3600</v>
      </c>
      <c r="N345" s="13">
        <v>54</v>
      </c>
      <c r="O345" s="15"/>
      <c r="P345" s="6">
        <v>40834.4453125</v>
      </c>
      <c r="Q345" s="17" t="s">
        <v>1386</v>
      </c>
      <c r="R345" s="16" t="s">
        <v>1387</v>
      </c>
      <c r="S345" s="11" t="s">
        <v>1388</v>
      </c>
      <c r="T345" s="12"/>
      <c r="U345" s="10" t="str">
        <f t="shared" si="68"/>
        <v>View</v>
      </c>
    </row>
    <row r="346" spans="1:21" ht="20.399999999999999">
      <c r="A346" s="6">
        <v>43426.579699074078</v>
      </c>
      <c r="B346" s="7" t="str">
        <f t="shared" si="67"/>
        <v>@Lagaceta08</v>
      </c>
      <c r="C346" s="8" t="s">
        <v>1382</v>
      </c>
      <c r="D346" s="9" t="s">
        <v>1390</v>
      </c>
      <c r="E346" s="10" t="str">
        <f>HYPERLINK("https://twitter.com/Lagaceta08/status/1065725298442784768","1065725298442784768")</f>
        <v>1065725298442784768</v>
      </c>
      <c r="F346" s="11" t="s">
        <v>1384</v>
      </c>
      <c r="G346" s="11" t="s">
        <v>1391</v>
      </c>
      <c r="H346" s="12"/>
      <c r="I346" s="13">
        <v>0</v>
      </c>
      <c r="J346" s="13">
        <v>0</v>
      </c>
      <c r="K346" s="14" t="str">
        <f>HYPERLINK("http://publicize.wp.com/","WordPress.com")</f>
        <v>WordPress.com</v>
      </c>
      <c r="L346" s="13">
        <v>2505</v>
      </c>
      <c r="M346" s="13">
        <v>3600</v>
      </c>
      <c r="N346" s="13">
        <v>54</v>
      </c>
      <c r="O346" s="15"/>
      <c r="P346" s="6">
        <v>40834.4453125</v>
      </c>
      <c r="Q346" s="17" t="s">
        <v>1386</v>
      </c>
      <c r="R346" s="16" t="s">
        <v>1387</v>
      </c>
      <c r="S346" s="11" t="s">
        <v>1388</v>
      </c>
      <c r="T346" s="12"/>
      <c r="U346" s="10" t="str">
        <f t="shared" si="68"/>
        <v>View</v>
      </c>
    </row>
    <row r="347" spans="1:21" ht="40.799999999999997">
      <c r="A347" s="6">
        <v>43426.579548611116</v>
      </c>
      <c r="B347" s="7" t="str">
        <f t="shared" si="67"/>
        <v>@Lagaceta08</v>
      </c>
      <c r="C347" s="8" t="s">
        <v>1382</v>
      </c>
      <c r="D347" s="9" t="s">
        <v>1392</v>
      </c>
      <c r="E347" s="10" t="str">
        <f>HYPERLINK("https://twitter.com/Lagaceta08/status/1065725247603671040","1065725247603671040")</f>
        <v>1065725247603671040</v>
      </c>
      <c r="F347" s="11" t="s">
        <v>1384</v>
      </c>
      <c r="G347" s="12"/>
      <c r="H347" s="12"/>
      <c r="I347" s="13">
        <v>0</v>
      </c>
      <c r="J347" s="13">
        <v>0</v>
      </c>
      <c r="K347" s="14" t="str">
        <f>HYPERLINK("http://www.facebook.com/twitter","Facebook")</f>
        <v>Facebook</v>
      </c>
      <c r="L347" s="13">
        <v>2505</v>
      </c>
      <c r="M347" s="13">
        <v>3600</v>
      </c>
      <c r="N347" s="13">
        <v>54</v>
      </c>
      <c r="O347" s="15"/>
      <c r="P347" s="6">
        <v>40834.4453125</v>
      </c>
      <c r="Q347" s="17" t="s">
        <v>1386</v>
      </c>
      <c r="R347" s="16" t="s">
        <v>1387</v>
      </c>
      <c r="S347" s="11" t="s">
        <v>1388</v>
      </c>
      <c r="T347" s="12"/>
      <c r="U347" s="10" t="str">
        <f t="shared" si="68"/>
        <v>View</v>
      </c>
    </row>
    <row r="348" spans="1:21" ht="20.399999999999999">
      <c r="A348" s="6">
        <v>43426.579548611116</v>
      </c>
      <c r="B348" s="7" t="str">
        <f t="shared" si="67"/>
        <v>@Lagaceta08</v>
      </c>
      <c r="C348" s="8" t="s">
        <v>1382</v>
      </c>
      <c r="D348" s="9" t="s">
        <v>1390</v>
      </c>
      <c r="E348" s="10" t="str">
        <f>HYPERLINK("https://twitter.com/Lagaceta08/status/1065725244566990848","1065725244566990848")</f>
        <v>1065725244566990848</v>
      </c>
      <c r="F348" s="11" t="s">
        <v>1384</v>
      </c>
      <c r="G348" s="11" t="s">
        <v>1393</v>
      </c>
      <c r="H348" s="12"/>
      <c r="I348" s="13">
        <v>0</v>
      </c>
      <c r="J348" s="13">
        <v>0</v>
      </c>
      <c r="K348" s="14" t="str">
        <f>HYPERLINK("http://publicize.wp.com/","WordPress.com")</f>
        <v>WordPress.com</v>
      </c>
      <c r="L348" s="13">
        <v>2505</v>
      </c>
      <c r="M348" s="13">
        <v>3600</v>
      </c>
      <c r="N348" s="13">
        <v>54</v>
      </c>
      <c r="O348" s="15"/>
      <c r="P348" s="6">
        <v>40834.4453125</v>
      </c>
      <c r="Q348" s="17" t="s">
        <v>1386</v>
      </c>
      <c r="R348" s="16" t="s">
        <v>1387</v>
      </c>
      <c r="S348" s="11" t="s">
        <v>1388</v>
      </c>
      <c r="T348" s="12"/>
      <c r="U348" s="10" t="str">
        <f t="shared" si="68"/>
        <v>View</v>
      </c>
    </row>
    <row r="349" spans="1:21" ht="61.2">
      <c r="A349" s="6">
        <v>43426.578530092593</v>
      </c>
      <c r="B349" s="7" t="str">
        <f>HYPERLINK("https://twitter.com/CapPescanova","@CapPescanova")</f>
        <v>@CapPescanova</v>
      </c>
      <c r="C349" s="8" t="s">
        <v>1394</v>
      </c>
      <c r="D349" s="9" t="s">
        <v>1395</v>
      </c>
      <c r="E349" s="10" t="str">
        <f>HYPERLINK("https://twitter.com/CapPescanova/status/1065724875661328384","1065724875661328384")</f>
        <v>1065724875661328384</v>
      </c>
      <c r="F349" s="11" t="s">
        <v>1396</v>
      </c>
      <c r="G349" s="11" t="s">
        <v>1397</v>
      </c>
      <c r="H349" s="12"/>
      <c r="I349" s="13">
        <v>0</v>
      </c>
      <c r="J349" s="13">
        <v>0</v>
      </c>
      <c r="K349" s="14" t="str">
        <f>HYPERLINK("http://twitter.com/download/android","Twitter for Android")</f>
        <v>Twitter for Android</v>
      </c>
      <c r="L349" s="13">
        <v>966</v>
      </c>
      <c r="M349" s="13">
        <v>858</v>
      </c>
      <c r="N349" s="13">
        <v>37</v>
      </c>
      <c r="O349" s="15"/>
      <c r="P349" s="6">
        <v>41148.316643518519</v>
      </c>
      <c r="Q349" s="17" t="s">
        <v>268</v>
      </c>
      <c r="R349" s="16" t="s">
        <v>1398</v>
      </c>
      <c r="S349" s="11" t="s">
        <v>1399</v>
      </c>
      <c r="T349" s="12"/>
      <c r="U349" s="10" t="str">
        <f>HYPERLINK("https://pbs.twimg.com/profile_images/2549038231/playmobil-captain.jpg","View")</f>
        <v>View</v>
      </c>
    </row>
    <row r="350" spans="1:21" ht="40.799999999999997">
      <c r="A350" s="6">
        <v>43426.577928240746</v>
      </c>
      <c r="B350" s="7" t="str">
        <f>HYPERLINK("https://twitter.com/manutv","@manutv")</f>
        <v>@manutv</v>
      </c>
      <c r="C350" s="8" t="s">
        <v>1400</v>
      </c>
      <c r="D350" s="9" t="s">
        <v>1401</v>
      </c>
      <c r="E350" s="10" t="str">
        <f>HYPERLINK("https://twitter.com/manutv/status/1065724660581654528","1065724660581654528")</f>
        <v>1065724660581654528</v>
      </c>
      <c r="F350" s="17" t="s">
        <v>1402</v>
      </c>
      <c r="G350" s="12"/>
      <c r="H350" s="12"/>
      <c r="I350" s="13">
        <v>1</v>
      </c>
      <c r="J350" s="13">
        <v>1</v>
      </c>
      <c r="K350" s="14" t="str">
        <f>HYPERLINK("http://twitter.com/download/iphone","Twitter for iPhone")</f>
        <v>Twitter for iPhone</v>
      </c>
      <c r="L350" s="13">
        <v>881</v>
      </c>
      <c r="M350" s="13">
        <v>235</v>
      </c>
      <c r="N350" s="13">
        <v>37</v>
      </c>
      <c r="O350" s="15"/>
      <c r="P350" s="6">
        <v>39690.607546296298</v>
      </c>
      <c r="Q350" s="17" t="s">
        <v>1246</v>
      </c>
      <c r="R350" s="16" t="s">
        <v>1403</v>
      </c>
      <c r="S350" s="11" t="s">
        <v>289</v>
      </c>
      <c r="T350" s="12"/>
      <c r="U350" s="10" t="str">
        <f>HYPERLINK("https://pbs.twimg.com/profile_images/1064446178056683521/PmDwVZca.jpg","View")</f>
        <v>View</v>
      </c>
    </row>
    <row r="351" spans="1:21" ht="20.399999999999999">
      <c r="A351" s="6">
        <v>43426.576898148152</v>
      </c>
      <c r="B351" s="7" t="str">
        <f>HYPERLINK("https://twitter.com/fernandelrio","@fernandelrio")</f>
        <v>@fernandelrio</v>
      </c>
      <c r="C351" s="8" t="s">
        <v>1404</v>
      </c>
      <c r="D351" s="9" t="s">
        <v>697</v>
      </c>
      <c r="E351" s="10" t="str">
        <f>HYPERLINK("https://twitter.com/fernandelrio/status/1065724285577281537","1065724285577281537")</f>
        <v>1065724285577281537</v>
      </c>
      <c r="F351" s="11" t="s">
        <v>335</v>
      </c>
      <c r="G351" s="12"/>
      <c r="H351" s="12"/>
      <c r="I351" s="13">
        <v>0</v>
      </c>
      <c r="J351" s="13">
        <v>0</v>
      </c>
      <c r="K351" s="14" t="str">
        <f>HYPERLINK("http://www.facebook.com/twitter","Facebook")</f>
        <v>Facebook</v>
      </c>
      <c r="L351" s="13">
        <v>169</v>
      </c>
      <c r="M351" s="13">
        <v>133</v>
      </c>
      <c r="N351" s="13">
        <v>7</v>
      </c>
      <c r="O351" s="15"/>
      <c r="P351" s="6">
        <v>40638.347314814819</v>
      </c>
      <c r="Q351" s="17" t="s">
        <v>1405</v>
      </c>
      <c r="R351" s="16" t="s">
        <v>1406</v>
      </c>
      <c r="S351" s="11" t="s">
        <v>1407</v>
      </c>
      <c r="T351" s="12"/>
      <c r="U351" s="10" t="str">
        <f>HYPERLINK("https://pbs.twimg.com/profile_images/1300903793/foto_de_del_rio.jpg","View")</f>
        <v>View</v>
      </c>
    </row>
    <row r="352" spans="1:21" ht="40.799999999999997">
      <c r="A352" s="6">
        <v>43426.575046296297</v>
      </c>
      <c r="B352" s="7" t="str">
        <f>HYPERLINK("https://twitter.com/Chancams","@Chancams")</f>
        <v>@Chancams</v>
      </c>
      <c r="C352" s="8" t="s">
        <v>1408</v>
      </c>
      <c r="D352" s="9" t="s">
        <v>1409</v>
      </c>
      <c r="E352" s="10" t="str">
        <f>HYPERLINK("https://twitter.com/Chancams/status/1065723615818207232","1065723615818207232")</f>
        <v>1065723615818207232</v>
      </c>
      <c r="F352" s="12"/>
      <c r="G352" s="12"/>
      <c r="H352" s="12"/>
      <c r="I352" s="13">
        <v>3</v>
      </c>
      <c r="J352" s="13">
        <v>10</v>
      </c>
      <c r="K352" s="14" t="str">
        <f t="shared" ref="K352:K353" si="69">HYPERLINK("http://twitter.com/download/android","Twitter for Android")</f>
        <v>Twitter for Android</v>
      </c>
      <c r="L352" s="13">
        <v>861</v>
      </c>
      <c r="M352" s="13">
        <v>859</v>
      </c>
      <c r="N352" s="13">
        <v>3</v>
      </c>
      <c r="O352" s="15"/>
      <c r="P352" s="6">
        <v>42817.616273148145</v>
      </c>
      <c r="Q352" s="17" t="s">
        <v>1410</v>
      </c>
      <c r="R352" s="16" t="s">
        <v>1411</v>
      </c>
      <c r="S352" s="12"/>
      <c r="T352" s="12"/>
      <c r="U352" s="10" t="str">
        <f>HYPERLINK("https://pbs.twimg.com/profile_images/845328782898663425/S056y_EK.jpg","View")</f>
        <v>View</v>
      </c>
    </row>
    <row r="353" spans="1:21" ht="13.2">
      <c r="A353" s="6">
        <v>43426.572152777779</v>
      </c>
      <c r="B353" s="7" t="str">
        <f>HYPERLINK("https://twitter.com/ALF_Astur","@ALF_Astur")</f>
        <v>@ALF_Astur</v>
      </c>
      <c r="C353" s="8" t="s">
        <v>1412</v>
      </c>
      <c r="D353" s="9" t="s">
        <v>1413</v>
      </c>
      <c r="E353" s="10" t="str">
        <f>HYPERLINK("https://twitter.com/ALF_Astur/status/1065722566176849921","1065722566176849921")</f>
        <v>1065722566176849921</v>
      </c>
      <c r="F353" s="12"/>
      <c r="G353" s="11" t="s">
        <v>1414</v>
      </c>
      <c r="H353" s="12"/>
      <c r="I353" s="13">
        <v>0</v>
      </c>
      <c r="J353" s="13">
        <v>0</v>
      </c>
      <c r="K353" s="14" t="str">
        <f t="shared" si="69"/>
        <v>Twitter for Android</v>
      </c>
      <c r="L353" s="13">
        <v>277</v>
      </c>
      <c r="M353" s="13">
        <v>489</v>
      </c>
      <c r="N353" s="13">
        <v>3</v>
      </c>
      <c r="O353" s="15"/>
      <c r="P353" s="6">
        <v>42730.467986111107</v>
      </c>
      <c r="Q353" s="17" t="s">
        <v>216</v>
      </c>
      <c r="R353" s="16" t="s">
        <v>1415</v>
      </c>
      <c r="S353" s="12"/>
      <c r="T353" s="12"/>
      <c r="U353" s="10" t="str">
        <f>HYPERLINK("https://pbs.twimg.com/profile_images/867004705997815808/ix8YmEyh.jpg","View")</f>
        <v>View</v>
      </c>
    </row>
    <row r="354" spans="1:21" ht="40.799999999999997">
      <c r="A354" s="6">
        <v>43426.571840277778</v>
      </c>
      <c r="B354" s="7" t="str">
        <f>HYPERLINK("https://twitter.com/btxcgnbv","@btxcgnbv")</f>
        <v>@btxcgnbv</v>
      </c>
      <c r="C354" s="8" t="s">
        <v>1416</v>
      </c>
      <c r="D354" s="9" t="s">
        <v>1417</v>
      </c>
      <c r="E354" s="10" t="str">
        <f>HYPERLINK("https://twitter.com/btxcgnbv/status/1065722451320074240","1065722451320074240")</f>
        <v>1065722451320074240</v>
      </c>
      <c r="F354" s="11" t="s">
        <v>1418</v>
      </c>
      <c r="G354" s="12"/>
      <c r="H354" s="12"/>
      <c r="I354" s="13">
        <v>0</v>
      </c>
      <c r="J354" s="13">
        <v>0</v>
      </c>
      <c r="K354" s="14" t="str">
        <f>HYPERLINK("https://buffer.com","Buffer")</f>
        <v>Buffer</v>
      </c>
      <c r="L354" s="13">
        <v>2569</v>
      </c>
      <c r="M354" s="13">
        <v>4999</v>
      </c>
      <c r="N354" s="13">
        <v>128</v>
      </c>
      <c r="O354" s="15"/>
      <c r="P354" s="6">
        <v>40693.664606481485</v>
      </c>
      <c r="Q354" s="12"/>
      <c r="R354" s="16" t="s">
        <v>1419</v>
      </c>
      <c r="S354" s="12"/>
      <c r="T354" s="12"/>
      <c r="U354" s="10" t="str">
        <f>HYPERLINK("https://pbs.twimg.com/profile_images/971885586696097792/hAF3pjtj.jpg","View")</f>
        <v>View</v>
      </c>
    </row>
    <row r="355" spans="1:21" ht="40.799999999999997">
      <c r="A355" s="6">
        <v>43426.570486111115</v>
      </c>
      <c r="B355" s="7" t="str">
        <f>HYPERLINK("https://twitter.com/IndividuoNG","@IndividuoNG")</f>
        <v>@IndividuoNG</v>
      </c>
      <c r="C355" s="8" t="s">
        <v>1420</v>
      </c>
      <c r="D355" s="9" t="s">
        <v>1421</v>
      </c>
      <c r="E355" s="10" t="str">
        <f>HYPERLINK("https://twitter.com/IndividuoNG/status/1065721961425317889","1065721961425317889")</f>
        <v>1065721961425317889</v>
      </c>
      <c r="F355" s="12"/>
      <c r="G355" s="12"/>
      <c r="H355" s="12"/>
      <c r="I355" s="13">
        <v>0</v>
      </c>
      <c r="J355" s="13">
        <v>0</v>
      </c>
      <c r="K355" s="14" t="str">
        <f>HYPERLINK("https://mobile.twitter.com","Mobile Web (M2)")</f>
        <v>Mobile Web (M2)</v>
      </c>
      <c r="L355" s="13">
        <v>573</v>
      </c>
      <c r="M355" s="13">
        <v>2256</v>
      </c>
      <c r="N355" s="13">
        <v>19</v>
      </c>
      <c r="O355" s="15"/>
      <c r="P355" s="6">
        <v>39183.0934837963</v>
      </c>
      <c r="Q355" s="17" t="s">
        <v>1422</v>
      </c>
      <c r="R355" s="16" t="s">
        <v>1423</v>
      </c>
      <c r="S355" s="11" t="s">
        <v>1424</v>
      </c>
      <c r="T355" s="12"/>
      <c r="U355" s="10" t="str">
        <f>HYPERLINK("https://pbs.twimg.com/profile_images/971329257749311489/gGhFUonS.jpg","View")</f>
        <v>View</v>
      </c>
    </row>
    <row r="356" spans="1:21" ht="51">
      <c r="A356" s="6">
        <v>43426.569641203707</v>
      </c>
      <c r="B356" s="7" t="str">
        <f>HYPERLINK("https://twitter.com/Jjazcano","@Jjazcano")</f>
        <v>@Jjazcano</v>
      </c>
      <c r="C356" s="8" t="s">
        <v>1425</v>
      </c>
      <c r="D356" s="9" t="s">
        <v>1426</v>
      </c>
      <c r="E356" s="10" t="str">
        <f>HYPERLINK("https://twitter.com/Jjazcano/status/1065721656847552512","1065721656847552512")</f>
        <v>1065721656847552512</v>
      </c>
      <c r="F356" s="17" t="s">
        <v>1427</v>
      </c>
      <c r="G356" s="12"/>
      <c r="H356" s="12"/>
      <c r="I356" s="13">
        <v>1</v>
      </c>
      <c r="J356" s="13">
        <v>1</v>
      </c>
      <c r="K356" s="14" t="str">
        <f>HYPERLINK("https://mobile.twitter.com","Twitter Lite")</f>
        <v>Twitter Lite</v>
      </c>
      <c r="L356" s="13">
        <v>9446</v>
      </c>
      <c r="M356" s="13">
        <v>8952</v>
      </c>
      <c r="N356" s="13">
        <v>37</v>
      </c>
      <c r="O356" s="15"/>
      <c r="P356" s="6">
        <v>41815.880057870367</v>
      </c>
      <c r="Q356" s="17" t="s">
        <v>1428</v>
      </c>
      <c r="R356" s="16" t="s">
        <v>1429</v>
      </c>
      <c r="S356" s="11" t="s">
        <v>1430</v>
      </c>
      <c r="T356" s="12"/>
      <c r="U356" s="10" t="str">
        <f>HYPERLINK("https://pbs.twimg.com/profile_images/941926144831565827/MEwYgfp6.jpg","View")</f>
        <v>View</v>
      </c>
    </row>
    <row r="357" spans="1:21" ht="20.399999999999999">
      <c r="A357" s="6">
        <v>43426.567256944443</v>
      </c>
      <c r="B357" s="7" t="str">
        <f>HYPERLINK("https://twitter.com/AIex_es","@AIex_es")</f>
        <v>@AIex_es</v>
      </c>
      <c r="C357" s="8" t="s">
        <v>1431</v>
      </c>
      <c r="D357" s="9" t="s">
        <v>697</v>
      </c>
      <c r="E357" s="10" t="str">
        <f>HYPERLINK("https://twitter.com/AIex_es/status/1065720792011472896","1065720792011472896")</f>
        <v>1065720792011472896</v>
      </c>
      <c r="F357" s="11" t="s">
        <v>335</v>
      </c>
      <c r="G357" s="12"/>
      <c r="H357" s="12"/>
      <c r="I357" s="13">
        <v>0</v>
      </c>
      <c r="J357" s="13">
        <v>0</v>
      </c>
      <c r="K357" s="14" t="str">
        <f>HYPERLINK("http://www.facebook.com/twitter","Facebook")</f>
        <v>Facebook</v>
      </c>
      <c r="L357" s="13">
        <v>42</v>
      </c>
      <c r="M357" s="13">
        <v>14</v>
      </c>
      <c r="N357" s="13">
        <v>0</v>
      </c>
      <c r="O357" s="15"/>
      <c r="P357" s="6">
        <v>40621.483703703707</v>
      </c>
      <c r="Q357" s="17" t="s">
        <v>1432</v>
      </c>
      <c r="R357" s="16" t="s">
        <v>1433</v>
      </c>
      <c r="S357" s="12"/>
      <c r="T357" s="12"/>
      <c r="U357" s="10" t="str">
        <f>HYPERLINK("https://pbs.twimg.com/profile_images/609421092181123072/LcC1COI8.jpg","View")</f>
        <v>View</v>
      </c>
    </row>
    <row r="358" spans="1:21" ht="20.399999999999999">
      <c r="A358" s="6">
        <v>43426.566863425927</v>
      </c>
      <c r="B358" s="7" t="str">
        <f>HYPERLINK("https://twitter.com/Panik81","@Panik81")</f>
        <v>@Panik81</v>
      </c>
      <c r="C358" s="8" t="s">
        <v>1434</v>
      </c>
      <c r="D358" s="9" t="s">
        <v>1435</v>
      </c>
      <c r="E358" s="10" t="str">
        <f>HYPERLINK("https://twitter.com/Panik81/status/1065720648838844416","1065720648838844416")</f>
        <v>1065720648838844416</v>
      </c>
      <c r="F358" s="12"/>
      <c r="G358" s="11" t="s">
        <v>1436</v>
      </c>
      <c r="H358" s="12"/>
      <c r="I358" s="13">
        <v>205</v>
      </c>
      <c r="J358" s="13">
        <v>395</v>
      </c>
      <c r="K358" s="14" t="str">
        <f>HYPERLINK("http://twitter.com/download/android","Twitter for Android")</f>
        <v>Twitter for Android</v>
      </c>
      <c r="L358" s="13">
        <v>12459</v>
      </c>
      <c r="M358" s="13">
        <v>1544</v>
      </c>
      <c r="N358" s="13">
        <v>109</v>
      </c>
      <c r="O358" s="15"/>
      <c r="P358" s="6">
        <v>40910.217569444445</v>
      </c>
      <c r="Q358" s="12"/>
      <c r="R358" s="16" t="s">
        <v>1437</v>
      </c>
      <c r="S358" s="12"/>
      <c r="T358" s="12"/>
      <c r="U358" s="10" t="str">
        <f>HYPERLINK("https://pbs.twimg.com/profile_images/765530824049655808/6PS-97m7.jpg","View")</f>
        <v>View</v>
      </c>
    </row>
    <row r="359" spans="1:21" ht="30.6">
      <c r="A359" s="6">
        <v>43426.556909722218</v>
      </c>
      <c r="B359" s="7" t="str">
        <f>HYPERLINK("https://twitter.com/alconperegrino2","@alconperegrino2")</f>
        <v>@alconperegrino2</v>
      </c>
      <c r="C359" s="8" t="s">
        <v>1438</v>
      </c>
      <c r="D359" s="9" t="s">
        <v>1439</v>
      </c>
      <c r="E359" s="10" t="str">
        <f>HYPERLINK("https://twitter.com/alconperegrino2/status/1065717043188649985","1065717043188649985")</f>
        <v>1065717043188649985</v>
      </c>
      <c r="F359" s="11" t="s">
        <v>1441</v>
      </c>
      <c r="G359" s="12"/>
      <c r="H359" s="12"/>
      <c r="I359" s="13">
        <v>0</v>
      </c>
      <c r="J359" s="13">
        <v>0</v>
      </c>
      <c r="K359" s="14" t="str">
        <f t="shared" ref="K359:K361" si="70">HYPERLINK("http://twitter.com","Twitter Web Client")</f>
        <v>Twitter Web Client</v>
      </c>
      <c r="L359" s="13">
        <v>69</v>
      </c>
      <c r="M359" s="13">
        <v>78</v>
      </c>
      <c r="N359" s="13">
        <v>9</v>
      </c>
      <c r="O359" s="15"/>
      <c r="P359" s="6">
        <v>40509.457361111112</v>
      </c>
      <c r="Q359" s="12"/>
      <c r="R359" s="18"/>
      <c r="S359" s="12"/>
      <c r="T359" s="12"/>
      <c r="U359" s="10" t="str">
        <f>HYPERLINK("https://pbs.twimg.com/profile_images/506876257624023040/buwMeWPi.jpeg","View")</f>
        <v>View</v>
      </c>
    </row>
    <row r="360" spans="1:21" ht="30.6">
      <c r="A360" s="6">
        <v>43426.556597222225</v>
      </c>
      <c r="B360" s="7" t="str">
        <f>HYPERLINK("https://twitter.com/Pedro_Castro","@Pedro_Castro")</f>
        <v>@Pedro_Castro</v>
      </c>
      <c r="C360" s="8" t="s">
        <v>1442</v>
      </c>
      <c r="D360" s="9" t="s">
        <v>45</v>
      </c>
      <c r="E360" s="10" t="str">
        <f>HYPERLINK("https://twitter.com/Pedro_Castro/status/1065716926800891904","1065716926800891904")</f>
        <v>1065716926800891904</v>
      </c>
      <c r="F360" s="11" t="s">
        <v>84</v>
      </c>
      <c r="G360" s="12"/>
      <c r="H360" s="12"/>
      <c r="I360" s="13">
        <v>0</v>
      </c>
      <c r="J360" s="13">
        <v>1</v>
      </c>
      <c r="K360" s="14" t="str">
        <f t="shared" si="70"/>
        <v>Twitter Web Client</v>
      </c>
      <c r="L360" s="13">
        <v>12366</v>
      </c>
      <c r="M360" s="13">
        <v>5933</v>
      </c>
      <c r="N360" s="13">
        <v>411</v>
      </c>
      <c r="O360" s="15"/>
      <c r="P360" s="6">
        <v>39811.127395833333</v>
      </c>
      <c r="Q360" s="17" t="s">
        <v>1443</v>
      </c>
      <c r="R360" s="16" t="s">
        <v>1444</v>
      </c>
      <c r="S360" s="11" t="s">
        <v>1445</v>
      </c>
      <c r="T360" s="12"/>
      <c r="U360" s="10" t="str">
        <f>HYPERLINK("https://pbs.twimg.com/profile_images/1423190616/203177_1104736911_528524_n2.jpg","View")</f>
        <v>View</v>
      </c>
    </row>
    <row r="361" spans="1:21" ht="40.799999999999997">
      <c r="A361" s="6">
        <v>43426.555844907409</v>
      </c>
      <c r="B361" s="7" t="str">
        <f>HYPERLINK("https://twitter.com/gsemprunmdg","@gsemprunmdg")</f>
        <v>@gsemprunmdg</v>
      </c>
      <c r="C361" s="8" t="s">
        <v>1446</v>
      </c>
      <c r="D361" s="9" t="s">
        <v>1447</v>
      </c>
      <c r="E361" s="10" t="str">
        <f>HYPERLINK("https://twitter.com/gsemprunmdg/status/1065716656775852034","1065716656775852034")</f>
        <v>1065716656775852034</v>
      </c>
      <c r="F361" s="11" t="s">
        <v>84</v>
      </c>
      <c r="G361" s="11" t="s">
        <v>1448</v>
      </c>
      <c r="H361" s="12"/>
      <c r="I361" s="13">
        <v>9</v>
      </c>
      <c r="J361" s="13">
        <v>5</v>
      </c>
      <c r="K361" s="14" t="str">
        <f t="shared" si="70"/>
        <v>Twitter Web Client</v>
      </c>
      <c r="L361" s="13">
        <v>42248</v>
      </c>
      <c r="M361" s="13">
        <v>41113</v>
      </c>
      <c r="N361" s="13">
        <v>396</v>
      </c>
      <c r="O361" s="15"/>
      <c r="P361" s="6">
        <v>40871.40179398148</v>
      </c>
      <c r="Q361" s="12"/>
      <c r="R361" s="16" t="s">
        <v>1449</v>
      </c>
      <c r="S361" s="12"/>
      <c r="T361" s="12"/>
      <c r="U361" s="10" t="str">
        <f>HYPERLINK("https://pbs.twimg.com/profile_images/684299741895757824/zyU9wdzS.jpg","View")</f>
        <v>View</v>
      </c>
    </row>
    <row r="362" spans="1:21" ht="51">
      <c r="A362" s="6">
        <v>43426.555219907408</v>
      </c>
      <c r="B362" s="7" t="str">
        <f>HYPERLINK("https://twitter.com/gdgc1977","@gdgc1977")</f>
        <v>@gdgc1977</v>
      </c>
      <c r="C362" s="8" t="s">
        <v>1450</v>
      </c>
      <c r="D362" s="9" t="s">
        <v>1451</v>
      </c>
      <c r="E362" s="10" t="str">
        <f>HYPERLINK("https://twitter.com/gdgc1977/status/1065716428630822912","1065716428630822912")</f>
        <v>1065716428630822912</v>
      </c>
      <c r="F362" s="12"/>
      <c r="G362" s="12"/>
      <c r="H362" s="12"/>
      <c r="I362" s="13">
        <v>27</v>
      </c>
      <c r="J362" s="13">
        <v>33</v>
      </c>
      <c r="K362" s="14" t="str">
        <f>HYPERLINK("http://twitter.com/download/iphone","Twitter for iPhone")</f>
        <v>Twitter for iPhone</v>
      </c>
      <c r="L362" s="13">
        <v>4365</v>
      </c>
      <c r="M362" s="13">
        <v>3372</v>
      </c>
      <c r="N362" s="13">
        <v>24</v>
      </c>
      <c r="O362" s="15"/>
      <c r="P362" s="6">
        <v>41673.992858796293</v>
      </c>
      <c r="Q362" s="17" t="s">
        <v>29</v>
      </c>
      <c r="R362" s="16" t="s">
        <v>1452</v>
      </c>
      <c r="S362" s="12"/>
      <c r="T362" s="12"/>
      <c r="U362" s="10" t="str">
        <f>HYPERLINK("https://pbs.twimg.com/profile_images/1064479943386644480/YtQzPByN.jpg","View")</f>
        <v>View</v>
      </c>
    </row>
    <row r="363" spans="1:21" ht="20.399999999999999">
      <c r="A363" s="6">
        <v>43426.555034722223</v>
      </c>
      <c r="B363" s="7" t="str">
        <f t="shared" ref="B363:B364" si="71">HYPERLINK("https://twitter.com/tintero11","@tintero11")</f>
        <v>@tintero11</v>
      </c>
      <c r="C363" s="8" t="s">
        <v>1453</v>
      </c>
      <c r="D363" s="9" t="s">
        <v>41</v>
      </c>
      <c r="E363" s="10" t="str">
        <f>HYPERLINK("https://twitter.com/tintero11/status/1065716363992412161","1065716363992412161")</f>
        <v>1065716363992412161</v>
      </c>
      <c r="F363" s="11" t="s">
        <v>42</v>
      </c>
      <c r="G363" s="12"/>
      <c r="H363" s="12"/>
      <c r="I363" s="13">
        <v>0</v>
      </c>
      <c r="J363" s="13">
        <v>0</v>
      </c>
      <c r="K363" s="14" t="str">
        <f>HYPERLINK("http://www.facebook.com/twitter","Facebook")</f>
        <v>Facebook</v>
      </c>
      <c r="L363" s="13">
        <v>78</v>
      </c>
      <c r="M363" s="13">
        <v>248</v>
      </c>
      <c r="N363" s="13">
        <v>7</v>
      </c>
      <c r="O363" s="15"/>
      <c r="P363" s="6">
        <v>40678.459479166668</v>
      </c>
      <c r="Q363" s="17" t="s">
        <v>76</v>
      </c>
      <c r="R363" s="16" t="s">
        <v>1454</v>
      </c>
      <c r="S363" s="11" t="s">
        <v>1455</v>
      </c>
      <c r="T363" s="12"/>
      <c r="U363" s="10" t="str">
        <f t="shared" ref="U363:U364" si="72">HYPERLINK("https://pbs.twimg.com/profile_images/1023263844620279813/mp3s0Gq7.jpg","View")</f>
        <v>View</v>
      </c>
    </row>
    <row r="364" spans="1:21" ht="30.6">
      <c r="A364" s="6">
        <v>43426.5549537037</v>
      </c>
      <c r="B364" s="7" t="str">
        <f t="shared" si="71"/>
        <v>@tintero11</v>
      </c>
      <c r="C364" s="8" t="s">
        <v>1453</v>
      </c>
      <c r="D364" s="9" t="s">
        <v>45</v>
      </c>
      <c r="E364" s="10" t="str">
        <f>HYPERLINK("https://twitter.com/tintero11/status/1065716333361446914","1065716333361446914")</f>
        <v>1065716333361446914</v>
      </c>
      <c r="F364" s="11" t="s">
        <v>84</v>
      </c>
      <c r="G364" s="12"/>
      <c r="H364" s="12"/>
      <c r="I364" s="13">
        <v>0</v>
      </c>
      <c r="J364" s="13">
        <v>0</v>
      </c>
      <c r="K364" s="14" t="str">
        <f t="shared" ref="K364:K365" si="73">HYPERLINK("http://twitter.com","Twitter Web Client")</f>
        <v>Twitter Web Client</v>
      </c>
      <c r="L364" s="13">
        <v>78</v>
      </c>
      <c r="M364" s="13">
        <v>248</v>
      </c>
      <c r="N364" s="13">
        <v>7</v>
      </c>
      <c r="O364" s="15"/>
      <c r="P364" s="6">
        <v>40678.459479166668</v>
      </c>
      <c r="Q364" s="17" t="s">
        <v>76</v>
      </c>
      <c r="R364" s="16" t="s">
        <v>1454</v>
      </c>
      <c r="S364" s="11" t="s">
        <v>1455</v>
      </c>
      <c r="T364" s="12"/>
      <c r="U364" s="10" t="str">
        <f t="shared" si="72"/>
        <v>View</v>
      </c>
    </row>
    <row r="365" spans="1:21" ht="30.6">
      <c r="A365" s="6">
        <v>43426.550509259258</v>
      </c>
      <c r="B365" s="7" t="str">
        <f>HYPERLINK("https://twitter.com/SilviaVMiranda","@SilviaVMiranda")</f>
        <v>@SilviaVMiranda</v>
      </c>
      <c r="C365" s="8" t="s">
        <v>1459</v>
      </c>
      <c r="D365" s="9" t="s">
        <v>1085</v>
      </c>
      <c r="E365" s="10" t="str">
        <f>HYPERLINK("https://twitter.com/SilviaVMiranda/status/1065714723994374144","1065714723994374144")</f>
        <v>1065714723994374144</v>
      </c>
      <c r="F365" s="11" t="s">
        <v>1462</v>
      </c>
      <c r="G365" s="12"/>
      <c r="H365" s="12"/>
      <c r="I365" s="13">
        <v>0</v>
      </c>
      <c r="J365" s="13">
        <v>0</v>
      </c>
      <c r="K365" s="14" t="str">
        <f t="shared" si="73"/>
        <v>Twitter Web Client</v>
      </c>
      <c r="L365" s="13">
        <v>180</v>
      </c>
      <c r="M365" s="13">
        <v>76</v>
      </c>
      <c r="N365" s="13">
        <v>14</v>
      </c>
      <c r="O365" s="15"/>
      <c r="P365" s="6">
        <v>40045.261956018519</v>
      </c>
      <c r="Q365" s="17" t="s">
        <v>1463</v>
      </c>
      <c r="R365" s="16" t="s">
        <v>1464</v>
      </c>
      <c r="S365" s="11" t="s">
        <v>1465</v>
      </c>
      <c r="T365" s="12"/>
      <c r="U365" s="10" t="str">
        <f>HYPERLINK("https://pbs.twimg.com/profile_images/911630159249154049/ZdtEyUMF.jpg","View")</f>
        <v>View</v>
      </c>
    </row>
    <row r="366" spans="1:21" ht="40.799999999999997">
      <c r="A366" s="6">
        <v>43426.548900462964</v>
      </c>
      <c r="B366" s="7" t="str">
        <f>HYPERLINK("https://twitter.com/protestona1","@protestona1")</f>
        <v>@protestona1</v>
      </c>
      <c r="C366" s="8" t="s">
        <v>1466</v>
      </c>
      <c r="D366" s="9" t="s">
        <v>1467</v>
      </c>
      <c r="E366" s="10" t="str">
        <f>HYPERLINK("https://twitter.com/protestona1/status/1065714138612142080","1065714138612142080")</f>
        <v>1065714138612142080</v>
      </c>
      <c r="F366" s="12"/>
      <c r="G366" s="11" t="s">
        <v>1468</v>
      </c>
      <c r="H366" s="12"/>
      <c r="I366" s="13">
        <v>143</v>
      </c>
      <c r="J366" s="13">
        <v>217</v>
      </c>
      <c r="K366" s="14" t="str">
        <f>HYPERLINK("http://twitter.com/download/iphone","Twitter for iPhone")</f>
        <v>Twitter for iPhone</v>
      </c>
      <c r="L366" s="13">
        <v>151543</v>
      </c>
      <c r="M366" s="13">
        <v>2210</v>
      </c>
      <c r="N366" s="13">
        <v>4</v>
      </c>
      <c r="O366" s="15"/>
      <c r="P366" s="6">
        <v>41352.488032407404</v>
      </c>
      <c r="Q366" s="17" t="s">
        <v>118</v>
      </c>
      <c r="R366" s="16" t="s">
        <v>1469</v>
      </c>
      <c r="S366" s="11" t="s">
        <v>1470</v>
      </c>
      <c r="T366" s="12"/>
      <c r="U366" s="10" t="str">
        <f>HYPERLINK("https://pbs.twimg.com/profile_images/1014938895501463552/_oCE6Q1b.jpg","View")</f>
        <v>View</v>
      </c>
    </row>
    <row r="367" spans="1:21" ht="40.799999999999997">
      <c r="A367" s="6">
        <v>43426.546770833331</v>
      </c>
      <c r="B367" s="7" t="str">
        <f>HYPERLINK("https://twitter.com/compromtido22","@compromtido22")</f>
        <v>@compromtido22</v>
      </c>
      <c r="C367" s="8" t="s">
        <v>1471</v>
      </c>
      <c r="D367" s="9" t="s">
        <v>1472</v>
      </c>
      <c r="E367" s="10" t="str">
        <f>HYPERLINK("https://twitter.com/compromtido22/status/1065713369024483328","1065713369024483328")</f>
        <v>1065713369024483328</v>
      </c>
      <c r="F367" s="12"/>
      <c r="G367" s="11" t="s">
        <v>1473</v>
      </c>
      <c r="H367" s="12"/>
      <c r="I367" s="13">
        <v>3</v>
      </c>
      <c r="J367" s="13">
        <v>2</v>
      </c>
      <c r="K367" s="14" t="str">
        <f>HYPERLINK("http://twitter.com/download/android","Twitter for Android")</f>
        <v>Twitter for Android</v>
      </c>
      <c r="L367" s="13">
        <v>962</v>
      </c>
      <c r="M367" s="13">
        <v>859</v>
      </c>
      <c r="N367" s="13">
        <v>15</v>
      </c>
      <c r="O367" s="15"/>
      <c r="P367" s="6">
        <v>42411.457291666666</v>
      </c>
      <c r="Q367" s="12"/>
      <c r="R367" s="16" t="s">
        <v>1474</v>
      </c>
      <c r="S367" s="12"/>
      <c r="T367" s="12"/>
      <c r="U367" s="10" t="str">
        <f>HYPERLINK("https://pbs.twimg.com/profile_images/1062806370267860993/RfSkyzB-.jpg","View")</f>
        <v>View</v>
      </c>
    </row>
    <row r="368" spans="1:21" ht="40.799999999999997">
      <c r="A368" s="6">
        <v>43426.542094907403</v>
      </c>
      <c r="B368" s="7" t="str">
        <f>HYPERLINK("https://twitter.com/Xabatz","@Xabatz")</f>
        <v>@Xabatz</v>
      </c>
      <c r="C368" s="8" t="s">
        <v>1475</v>
      </c>
      <c r="D368" s="9" t="s">
        <v>1476</v>
      </c>
      <c r="E368" s="10" t="str">
        <f>HYPERLINK("https://twitter.com/Xabatz/status/1065711673552642051","1065711673552642051")</f>
        <v>1065711673552642051</v>
      </c>
      <c r="F368" s="12"/>
      <c r="G368" s="11" t="s">
        <v>1477</v>
      </c>
      <c r="H368" s="12"/>
      <c r="I368" s="13">
        <v>0</v>
      </c>
      <c r="J368" s="13">
        <v>3</v>
      </c>
      <c r="K368" s="14" t="str">
        <f>HYPERLINK("http://twitter.com","Twitter Web Client")</f>
        <v>Twitter Web Client</v>
      </c>
      <c r="L368" s="13">
        <v>1475</v>
      </c>
      <c r="M368" s="13">
        <v>306</v>
      </c>
      <c r="N368" s="13">
        <v>24</v>
      </c>
      <c r="O368" s="15"/>
      <c r="P368" s="6">
        <v>40860.471076388887</v>
      </c>
      <c r="Q368" s="17" t="s">
        <v>1478</v>
      </c>
      <c r="R368" s="16" t="s">
        <v>1479</v>
      </c>
      <c r="S368" s="11" t="s">
        <v>1480</v>
      </c>
      <c r="T368" s="12"/>
      <c r="U368" s="10" t="str">
        <f>HYPERLINK("https://pbs.twimg.com/profile_images/1028744852740231173/UGbyiMKr.jpg","View")</f>
        <v>View</v>
      </c>
    </row>
    <row r="369" spans="1:21" ht="51">
      <c r="A369" s="6">
        <v>43426.533807870372</v>
      </c>
      <c r="B369" s="7" t="str">
        <f>HYPERLINK("https://twitter.com/lacuas66","@lacuas66")</f>
        <v>@lacuas66</v>
      </c>
      <c r="C369" s="8" t="s">
        <v>1481</v>
      </c>
      <c r="D369" s="9" t="s">
        <v>1482</v>
      </c>
      <c r="E369" s="10" t="str">
        <f>HYPERLINK("https://twitter.com/lacuas66/status/1065708670586114049","1065708670586114049")</f>
        <v>1065708670586114049</v>
      </c>
      <c r="F369" s="11" t="s">
        <v>292</v>
      </c>
      <c r="G369" s="12"/>
      <c r="H369" s="12"/>
      <c r="I369" s="13">
        <v>1</v>
      </c>
      <c r="J369" s="13">
        <v>0</v>
      </c>
      <c r="K369" s="14" t="str">
        <f>HYPERLINK("http://twitter.com/download/android","Twitter for Android")</f>
        <v>Twitter for Android</v>
      </c>
      <c r="L369" s="13">
        <v>223</v>
      </c>
      <c r="M369" s="13">
        <v>395</v>
      </c>
      <c r="N369" s="13">
        <v>3</v>
      </c>
      <c r="O369" s="15"/>
      <c r="P369" s="6">
        <v>42056.13961805556</v>
      </c>
      <c r="Q369" s="12"/>
      <c r="R369" s="16" t="s">
        <v>1483</v>
      </c>
      <c r="S369" s="12"/>
      <c r="T369" s="12"/>
      <c r="U369" s="10" t="str">
        <f>HYPERLINK("https://pbs.twimg.com/profile_images/1015105381872422914/1CCpb5PY.jpg","View")</f>
        <v>View</v>
      </c>
    </row>
    <row r="370" spans="1:21" ht="20.399999999999999">
      <c r="A370" s="6">
        <v>43426.53125</v>
      </c>
      <c r="B370" s="7" t="str">
        <f>HYPERLINK("https://twitter.com/EDUARDOLEOPOL17","@EDUARDOLEOPOL17")</f>
        <v>@EDUARDOLEOPOL17</v>
      </c>
      <c r="C370" s="8" t="s">
        <v>1210</v>
      </c>
      <c r="D370" s="9" t="s">
        <v>1484</v>
      </c>
      <c r="E370" s="10" t="str">
        <f>HYPERLINK("https://twitter.com/EDUARDOLEOPOL17/status/1065707741644238849","1065707741644238849")</f>
        <v>1065707741644238849</v>
      </c>
      <c r="F370" s="11" t="s">
        <v>1485</v>
      </c>
      <c r="G370" s="12"/>
      <c r="H370" s="12"/>
      <c r="I370" s="13">
        <v>0</v>
      </c>
      <c r="J370" s="13">
        <v>0</v>
      </c>
      <c r="K370" s="14" t="str">
        <f t="shared" ref="K370:K371" si="74">HYPERLINK("http://twitter.com","Twitter Web Client")</f>
        <v>Twitter Web Client</v>
      </c>
      <c r="L370" s="13">
        <v>346</v>
      </c>
      <c r="M370" s="13">
        <v>348</v>
      </c>
      <c r="N370" s="13">
        <v>2</v>
      </c>
      <c r="O370" s="15"/>
      <c r="P370" s="6">
        <v>43287.722662037035</v>
      </c>
      <c r="Q370" s="17" t="s">
        <v>374</v>
      </c>
      <c r="R370" s="18"/>
      <c r="S370" s="12"/>
      <c r="T370" s="12"/>
      <c r="U370" s="10" t="str">
        <f>HYPERLINK("https://pbs.twimg.com/profile_images/1034197770616352768/aEVoRqKT.jpg","View")</f>
        <v>View</v>
      </c>
    </row>
    <row r="371" spans="1:21" ht="40.799999999999997">
      <c r="A371" s="6">
        <v>43426.527372685188</v>
      </c>
      <c r="B371" s="7" t="str">
        <f>HYPERLINK("https://twitter.com/falcarazfer","@falcarazfer")</f>
        <v>@falcarazfer</v>
      </c>
      <c r="C371" s="8" t="s">
        <v>1486</v>
      </c>
      <c r="D371" s="9" t="s">
        <v>1487</v>
      </c>
      <c r="E371" s="10" t="str">
        <f>HYPERLINK("https://twitter.com/falcarazfer/status/1065706338376982534","1065706338376982534")</f>
        <v>1065706338376982534</v>
      </c>
      <c r="F371" s="11" t="s">
        <v>1488</v>
      </c>
      <c r="G371" s="12"/>
      <c r="H371" s="12"/>
      <c r="I371" s="13">
        <v>0</v>
      </c>
      <c r="J371" s="13">
        <v>0</v>
      </c>
      <c r="K371" s="14" t="str">
        <f t="shared" si="74"/>
        <v>Twitter Web Client</v>
      </c>
      <c r="L371" s="13">
        <v>3519</v>
      </c>
      <c r="M371" s="13">
        <v>3474</v>
      </c>
      <c r="N371" s="13">
        <v>52</v>
      </c>
      <c r="O371" s="15"/>
      <c r="P371" s="6">
        <v>41687.486030092594</v>
      </c>
      <c r="Q371" s="12"/>
      <c r="R371" s="16" t="s">
        <v>1489</v>
      </c>
      <c r="S371" s="12"/>
      <c r="T371" s="12"/>
      <c r="U371" s="10" t="str">
        <f>HYPERLINK("https://pbs.twimg.com/profile_images/459014754648879105/Dt4Ki-pT.png","View")</f>
        <v>View</v>
      </c>
    </row>
    <row r="372" spans="1:21" ht="20.399999999999999">
      <c r="A372" s="6">
        <v>43426.521840277783</v>
      </c>
      <c r="B372" s="7" t="str">
        <f>HYPERLINK("https://twitter.com/NachoDiaz26","@NachoDiaz26")</f>
        <v>@NachoDiaz26</v>
      </c>
      <c r="C372" s="8" t="s">
        <v>1490</v>
      </c>
      <c r="D372" s="9" t="s">
        <v>1491</v>
      </c>
      <c r="E372" s="10" t="str">
        <f>HYPERLINK("https://twitter.com/NachoDiaz26/status/1065704334153912320","1065704334153912320")</f>
        <v>1065704334153912320</v>
      </c>
      <c r="F372" s="11" t="s">
        <v>1492</v>
      </c>
      <c r="G372" s="12"/>
      <c r="H372" s="12"/>
      <c r="I372" s="13">
        <v>0</v>
      </c>
      <c r="J372" s="13">
        <v>0</v>
      </c>
      <c r="K372" s="14" t="str">
        <f>HYPERLINK("http://twitter.com/download/android","Twitter for Android")</f>
        <v>Twitter for Android</v>
      </c>
      <c r="L372" s="13">
        <v>308</v>
      </c>
      <c r="M372" s="13">
        <v>553</v>
      </c>
      <c r="N372" s="13">
        <v>2</v>
      </c>
      <c r="O372" s="15"/>
      <c r="P372" s="6">
        <v>40851.364988425928</v>
      </c>
      <c r="Q372" s="17" t="s">
        <v>338</v>
      </c>
      <c r="R372" s="16" t="s">
        <v>1493</v>
      </c>
      <c r="S372" s="12"/>
      <c r="T372" s="12"/>
      <c r="U372" s="10" t="str">
        <f>HYPERLINK("https://pbs.twimg.com/profile_images/707949978807877632/yOvlsHBD.jpg","View")</f>
        <v>View</v>
      </c>
    </row>
    <row r="373" spans="1:21" ht="40.799999999999997">
      <c r="A373" s="6">
        <v>43426.52039351852</v>
      </c>
      <c r="B373" s="7" t="str">
        <f>HYPERLINK("https://twitter.com/falcarazfer","@falcarazfer")</f>
        <v>@falcarazfer</v>
      </c>
      <c r="C373" s="8" t="s">
        <v>1486</v>
      </c>
      <c r="D373" s="9" t="s">
        <v>1494</v>
      </c>
      <c r="E373" s="10" t="str">
        <f>HYPERLINK("https://twitter.com/falcarazfer/status/1065703810348269568","1065703810348269568")</f>
        <v>1065703810348269568</v>
      </c>
      <c r="F373" s="11" t="s">
        <v>1495</v>
      </c>
      <c r="G373" s="12"/>
      <c r="H373" s="12"/>
      <c r="I373" s="13">
        <v>0</v>
      </c>
      <c r="J373" s="13">
        <v>0</v>
      </c>
      <c r="K373" s="14" t="str">
        <f>HYPERLINK("http://twitter.com","Twitter Web Client")</f>
        <v>Twitter Web Client</v>
      </c>
      <c r="L373" s="13">
        <v>3519</v>
      </c>
      <c r="M373" s="13">
        <v>3474</v>
      </c>
      <c r="N373" s="13">
        <v>52</v>
      </c>
      <c r="O373" s="15"/>
      <c r="P373" s="6">
        <v>41687.486030092594</v>
      </c>
      <c r="Q373" s="12"/>
      <c r="R373" s="16" t="s">
        <v>1489</v>
      </c>
      <c r="S373" s="12"/>
      <c r="T373" s="12"/>
      <c r="U373" s="10" t="str">
        <f>HYPERLINK("https://pbs.twimg.com/profile_images/459014754648879105/Dt4Ki-pT.png","View")</f>
        <v>View</v>
      </c>
    </row>
    <row r="374" spans="1:21" ht="30.6">
      <c r="A374" s="6">
        <v>43426.518819444449</v>
      </c>
      <c r="B374" s="7" t="str">
        <f>HYPERLINK("https://twitter.com/3000Dulce","@3000Dulce")</f>
        <v>@3000Dulce</v>
      </c>
      <c r="C374" s="8" t="s">
        <v>1496</v>
      </c>
      <c r="D374" s="9" t="s">
        <v>266</v>
      </c>
      <c r="E374" s="10" t="str">
        <f>HYPERLINK("https://twitter.com/3000Dulce/status/1065703239566458880","1065703239566458880")</f>
        <v>1065703239566458880</v>
      </c>
      <c r="F374" s="11" t="s">
        <v>292</v>
      </c>
      <c r="G374" s="12"/>
      <c r="H374" s="12"/>
      <c r="I374" s="13">
        <v>0</v>
      </c>
      <c r="J374" s="13">
        <v>0</v>
      </c>
      <c r="K374" s="14" t="str">
        <f>HYPERLINK("http://twitter.com/download/android","Twitter for Android")</f>
        <v>Twitter for Android</v>
      </c>
      <c r="L374" s="13">
        <v>2018</v>
      </c>
      <c r="M374" s="13">
        <v>767</v>
      </c>
      <c r="N374" s="13">
        <v>106</v>
      </c>
      <c r="O374" s="15"/>
      <c r="P374" s="6">
        <v>40785.297268518516</v>
      </c>
      <c r="Q374" s="17" t="s">
        <v>215</v>
      </c>
      <c r="R374" s="16" t="s">
        <v>1497</v>
      </c>
      <c r="S374" s="12"/>
      <c r="T374" s="12"/>
      <c r="U374" s="10" t="str">
        <f>HYPERLINK("https://pbs.twimg.com/profile_images/1065331392702267394/WTalp1NF.jpg","View")</f>
        <v>View</v>
      </c>
    </row>
    <row r="375" spans="1:21" ht="40.799999999999997">
      <c r="A375" s="6">
        <v>43426.517893518518</v>
      </c>
      <c r="B375" s="7" t="str">
        <f>HYPERLINK("https://twitter.com/jofelices","@jofelices")</f>
        <v>@jofelices</v>
      </c>
      <c r="C375" s="8" t="s">
        <v>1498</v>
      </c>
      <c r="D375" s="9" t="s">
        <v>1499</v>
      </c>
      <c r="E375" s="10" t="str">
        <f>HYPERLINK("https://twitter.com/jofelices/status/1065702902742831104","1065702902742831104")</f>
        <v>1065702902742831104</v>
      </c>
      <c r="F375" s="12"/>
      <c r="G375" s="12"/>
      <c r="H375" s="12"/>
      <c r="I375" s="13">
        <v>5</v>
      </c>
      <c r="J375" s="13">
        <v>8</v>
      </c>
      <c r="K375" s="14" t="str">
        <f>HYPERLINK("http://twitter.com","Twitter Web Client")</f>
        <v>Twitter Web Client</v>
      </c>
      <c r="L375" s="13">
        <v>5385</v>
      </c>
      <c r="M375" s="13">
        <v>4591</v>
      </c>
      <c r="N375" s="13">
        <v>40</v>
      </c>
      <c r="O375" s="15"/>
      <c r="P375" s="6">
        <v>40921.314618055556</v>
      </c>
      <c r="Q375" s="12"/>
      <c r="R375" s="16" t="s">
        <v>1500</v>
      </c>
      <c r="S375" s="12"/>
      <c r="T375" s="12"/>
      <c r="U375" s="10" t="str">
        <f>HYPERLINK("https://pbs.twimg.com/profile_images/752932307821006848/C79eevA0.jpg","View")</f>
        <v>View</v>
      </c>
    </row>
    <row r="376" spans="1:21" ht="30.6">
      <c r="A376" s="6">
        <v>43426.515347222223</v>
      </c>
      <c r="B376" s="7" t="str">
        <f>HYPERLINK("https://twitter.com/ffman56","@ffman56")</f>
        <v>@ffman56</v>
      </c>
      <c r="C376" s="8" t="s">
        <v>1501</v>
      </c>
      <c r="D376" s="9" t="s">
        <v>1502</v>
      </c>
      <c r="E376" s="10" t="str">
        <f>HYPERLINK("https://twitter.com/ffman56/status/1065701982067924994","1065701982067924994")</f>
        <v>1065701982067924994</v>
      </c>
      <c r="F376" s="12"/>
      <c r="G376" s="12"/>
      <c r="H376" s="12"/>
      <c r="I376" s="13">
        <v>1</v>
      </c>
      <c r="J376" s="13">
        <v>1</v>
      </c>
      <c r="K376" s="14" t="str">
        <f t="shared" ref="K376:K377" si="75">HYPERLINK("http://twitter.com/download/android","Twitter for Android")</f>
        <v>Twitter for Android</v>
      </c>
      <c r="L376" s="13">
        <v>103</v>
      </c>
      <c r="M376" s="13">
        <v>181</v>
      </c>
      <c r="N376" s="13">
        <v>2</v>
      </c>
      <c r="O376" s="15"/>
      <c r="P376" s="6">
        <v>41365.407812500001</v>
      </c>
      <c r="Q376" s="17" t="s">
        <v>1503</v>
      </c>
      <c r="R376" s="16" t="s">
        <v>1504</v>
      </c>
      <c r="S376" s="11" t="s">
        <v>1505</v>
      </c>
      <c r="T376" s="12"/>
      <c r="U376" s="10" t="str">
        <f>HYPERLINK("https://pbs.twimg.com/profile_images/1049748367276937218/ujhRAQV7.jpg","View")</f>
        <v>View</v>
      </c>
    </row>
    <row r="377" spans="1:21" ht="40.799999999999997">
      <c r="A377" s="6">
        <v>43426.511469907404</v>
      </c>
      <c r="B377" s="7" t="str">
        <f>HYPERLINK("https://twitter.com/cambiaelsistema","@cambiaelsistema")</f>
        <v>@cambiaelsistema</v>
      </c>
      <c r="C377" s="8" t="s">
        <v>1506</v>
      </c>
      <c r="D377" s="9" t="s">
        <v>1507</v>
      </c>
      <c r="E377" s="10" t="str">
        <f>HYPERLINK("https://twitter.com/cambiaelsistema/status/1065700575512285184","1065700575512285184")</f>
        <v>1065700575512285184</v>
      </c>
      <c r="F377" s="12"/>
      <c r="G377" s="12"/>
      <c r="H377" s="12"/>
      <c r="I377" s="13">
        <v>0</v>
      </c>
      <c r="J377" s="13">
        <v>1</v>
      </c>
      <c r="K377" s="14" t="str">
        <f t="shared" si="75"/>
        <v>Twitter for Android</v>
      </c>
      <c r="L377" s="13">
        <v>1464</v>
      </c>
      <c r="M377" s="13">
        <v>1279</v>
      </c>
      <c r="N377" s="13">
        <v>41</v>
      </c>
      <c r="O377" s="15"/>
      <c r="P377" s="6">
        <v>40685.291134259256</v>
      </c>
      <c r="Q377" s="17" t="s">
        <v>1508</v>
      </c>
      <c r="R377" s="16" t="s">
        <v>1509</v>
      </c>
      <c r="S377" s="11" t="s">
        <v>1510</v>
      </c>
      <c r="T377" s="12"/>
      <c r="U377" s="10" t="str">
        <f>HYPERLINK("https://pbs.twimg.com/profile_images/1036263794639626240/V3AUWOLd.jpg","View")</f>
        <v>View</v>
      </c>
    </row>
    <row r="378" spans="1:21" ht="30.6">
      <c r="A378" s="6">
        <v>43426.509780092594</v>
      </c>
      <c r="B378" s="7" t="str">
        <f>HYPERLINK("https://twitter.com/Raymynk","@Raymynk")</f>
        <v>@Raymynk</v>
      </c>
      <c r="C378" s="8" t="s">
        <v>1511</v>
      </c>
      <c r="D378" s="9" t="s">
        <v>266</v>
      </c>
      <c r="E378" s="10" t="str">
        <f>HYPERLINK("https://twitter.com/Raymynk/status/1065699962602881025","1065699962602881025")</f>
        <v>1065699962602881025</v>
      </c>
      <c r="F378" s="11" t="s">
        <v>292</v>
      </c>
      <c r="G378" s="12"/>
      <c r="H378" s="12"/>
      <c r="I378" s="13">
        <v>0</v>
      </c>
      <c r="J378" s="13">
        <v>0</v>
      </c>
      <c r="K378" s="14" t="str">
        <f t="shared" ref="K378:K379" si="76">HYPERLINK("http://twitter.com","Twitter Web Client")</f>
        <v>Twitter Web Client</v>
      </c>
      <c r="L378" s="13">
        <v>198</v>
      </c>
      <c r="M378" s="13">
        <v>678</v>
      </c>
      <c r="N378" s="13">
        <v>6</v>
      </c>
      <c r="O378" s="15"/>
      <c r="P378" s="6">
        <v>40108.171435185184</v>
      </c>
      <c r="Q378" s="17" t="s">
        <v>1512</v>
      </c>
      <c r="R378" s="18"/>
      <c r="S378" s="11" t="s">
        <v>1513</v>
      </c>
      <c r="T378" s="12"/>
      <c r="U378" s="10" t="str">
        <f>HYPERLINK("https://pbs.twimg.com/profile_images/484297550/ray.jpg","View")</f>
        <v>View</v>
      </c>
    </row>
    <row r="379" spans="1:21" ht="20.399999999999999">
      <c r="A379" s="6">
        <v>43426.509317129632</v>
      </c>
      <c r="B379" s="7" t="str">
        <f>HYPERLINK("https://twitter.com/2Lcarme","@2Lcarme")</f>
        <v>@2Lcarme</v>
      </c>
      <c r="C379" s="8" t="s">
        <v>1514</v>
      </c>
      <c r="D379" s="9" t="s">
        <v>697</v>
      </c>
      <c r="E379" s="10" t="str">
        <f>HYPERLINK("https://twitter.com/2Lcarme/status/1065699792972599297","1065699792972599297")</f>
        <v>1065699792972599297</v>
      </c>
      <c r="F379" s="11" t="s">
        <v>335</v>
      </c>
      <c r="G379" s="12"/>
      <c r="H379" s="12"/>
      <c r="I379" s="13">
        <v>0</v>
      </c>
      <c r="J379" s="13">
        <v>0</v>
      </c>
      <c r="K379" s="14" t="str">
        <f t="shared" si="76"/>
        <v>Twitter Web Client</v>
      </c>
      <c r="L379" s="13">
        <v>2111</v>
      </c>
      <c r="M379" s="13">
        <v>2088</v>
      </c>
      <c r="N379" s="13">
        <v>187</v>
      </c>
      <c r="O379" s="15"/>
      <c r="P379" s="6">
        <v>42005.738634259258</v>
      </c>
      <c r="Q379" s="17" t="s">
        <v>1515</v>
      </c>
      <c r="R379" s="16" t="s">
        <v>1516</v>
      </c>
      <c r="S379" s="12"/>
      <c r="T379" s="12"/>
      <c r="U379" s="10" t="str">
        <f>HYPERLINK("https://pbs.twimg.com/profile_images/1065352530601873413/v3zaGH8b.jpg","View")</f>
        <v>View</v>
      </c>
    </row>
    <row r="380" spans="1:21" ht="30.6">
      <c r="A380" s="6">
        <v>43426.506967592592</v>
      </c>
      <c r="B380" s="7" t="str">
        <f>HYPERLINK("https://twitter.com/MiguelAGBatista","@MiguelAGBatista")</f>
        <v>@MiguelAGBatista</v>
      </c>
      <c r="C380" s="8" t="s">
        <v>1228</v>
      </c>
      <c r="D380" s="9" t="s">
        <v>1229</v>
      </c>
      <c r="E380" s="10" t="str">
        <f>HYPERLINK("https://twitter.com/MiguelAGBatista/status/1065698944808861696","1065698944808861696")</f>
        <v>1065698944808861696</v>
      </c>
      <c r="F380" s="11" t="s">
        <v>962</v>
      </c>
      <c r="G380" s="11" t="s">
        <v>1232</v>
      </c>
      <c r="H380" s="12"/>
      <c r="I380" s="13">
        <v>0</v>
      </c>
      <c r="J380" s="13">
        <v>0</v>
      </c>
      <c r="K380" s="14" t="str">
        <f>HYPERLINK("https://buffer.com","Buffer")</f>
        <v>Buffer</v>
      </c>
      <c r="L380" s="13">
        <v>3065</v>
      </c>
      <c r="M380" s="13">
        <v>2757</v>
      </c>
      <c r="N380" s="13">
        <v>90</v>
      </c>
      <c r="O380" s="15"/>
      <c r="P380" s="6">
        <v>39928.313194444447</v>
      </c>
      <c r="Q380" s="17" t="s">
        <v>1233</v>
      </c>
      <c r="R380" s="16" t="s">
        <v>1234</v>
      </c>
      <c r="S380" s="12"/>
      <c r="T380" s="12"/>
      <c r="U380" s="10" t="str">
        <f>HYPERLINK("https://pbs.twimg.com/profile_images/917118513151692801/H_YCvEKH.jpg","View")</f>
        <v>View</v>
      </c>
    </row>
    <row r="381" spans="1:21" ht="51">
      <c r="A381" s="6">
        <v>43426.501979166671</v>
      </c>
      <c r="B381" s="7" t="str">
        <f>HYPERLINK("https://twitter.com/Crooperc","@Crooperc")</f>
        <v>@Crooperc</v>
      </c>
      <c r="C381" s="8" t="s">
        <v>1230</v>
      </c>
      <c r="D381" s="9" t="s">
        <v>1518</v>
      </c>
      <c r="E381" s="10" t="str">
        <f>HYPERLINK("https://twitter.com/Crooperc/status/1065697137395146753","1065697137395146753")</f>
        <v>1065697137395146753</v>
      </c>
      <c r="F381" s="12"/>
      <c r="G381" s="12"/>
      <c r="H381" s="12"/>
      <c r="I381" s="13">
        <v>0</v>
      </c>
      <c r="J381" s="13">
        <v>0</v>
      </c>
      <c r="K381" s="14" t="str">
        <f t="shared" ref="K381:K382" si="77">HYPERLINK("http://twitter.com","Twitter Web Client")</f>
        <v>Twitter Web Client</v>
      </c>
      <c r="L381" s="13">
        <v>448</v>
      </c>
      <c r="M381" s="13">
        <v>1008</v>
      </c>
      <c r="N381" s="13">
        <v>7</v>
      </c>
      <c r="O381" s="15"/>
      <c r="P381" s="6">
        <v>40576.307604166665</v>
      </c>
      <c r="Q381" s="17" t="s">
        <v>26</v>
      </c>
      <c r="R381" s="16" t="s">
        <v>1235</v>
      </c>
      <c r="S381" s="12"/>
      <c r="T381" s="12"/>
      <c r="U381" s="10" t="str">
        <f>HYPERLINK("https://pbs.twimg.com/profile_images/710548663265857536/-TZuIifW.jpg","View")</f>
        <v>View</v>
      </c>
    </row>
    <row r="382" spans="1:21" ht="30.6">
      <c r="A382" s="6">
        <v>43426.501539351855</v>
      </c>
      <c r="B382" s="7" t="str">
        <f>HYPERLINK("https://twitter.com/SocialCiudadano","@SocialCiudadano")</f>
        <v>@SocialCiudadano</v>
      </c>
      <c r="C382" s="8" t="s">
        <v>1521</v>
      </c>
      <c r="D382" s="9" t="s">
        <v>266</v>
      </c>
      <c r="E382" s="10" t="str">
        <f>HYPERLINK("https://twitter.com/SocialCiudadano/status/1065696974463209475","1065696974463209475")</f>
        <v>1065696974463209475</v>
      </c>
      <c r="F382" s="11" t="s">
        <v>292</v>
      </c>
      <c r="G382" s="12"/>
      <c r="H382" s="12"/>
      <c r="I382" s="13">
        <v>2</v>
      </c>
      <c r="J382" s="13">
        <v>0</v>
      </c>
      <c r="K382" s="14" t="str">
        <f t="shared" si="77"/>
        <v>Twitter Web Client</v>
      </c>
      <c r="L382" s="13">
        <v>642</v>
      </c>
      <c r="M382" s="13">
        <v>1324</v>
      </c>
      <c r="N382" s="13">
        <v>2</v>
      </c>
      <c r="O382" s="15"/>
      <c r="P382" s="6">
        <v>42388.582048611112</v>
      </c>
      <c r="Q382" s="17" t="s">
        <v>1523</v>
      </c>
      <c r="R382" s="16" t="s">
        <v>1524</v>
      </c>
      <c r="S382" s="11" t="s">
        <v>1525</v>
      </c>
      <c r="T382" s="12"/>
      <c r="U382" s="10" t="str">
        <f>HYPERLINK("https://pbs.twimg.com/profile_images/989849592748564480/jnmloev4.jpg","View")</f>
        <v>View</v>
      </c>
    </row>
    <row r="383" spans="1:21" ht="20.399999999999999">
      <c r="A383" s="6">
        <v>43426.500694444447</v>
      </c>
      <c r="B383" s="7" t="str">
        <f>HYPERLINK("https://twitter.com/En_Blau_es","@En_Blau_es")</f>
        <v>@En_Blau_es</v>
      </c>
      <c r="C383" s="8" t="s">
        <v>675</v>
      </c>
      <c r="D383" s="9" t="s">
        <v>1528</v>
      </c>
      <c r="E383" s="10" t="str">
        <f>HYPERLINK("https://twitter.com/En_Blau_es/status/1065696669767880704","1065696669767880704")</f>
        <v>1065696669767880704</v>
      </c>
      <c r="F383" s="11" t="s">
        <v>677</v>
      </c>
      <c r="G383" s="12"/>
      <c r="H383" s="12"/>
      <c r="I383" s="13">
        <v>0</v>
      </c>
      <c r="J383" s="13">
        <v>0</v>
      </c>
      <c r="K383" s="14" t="str">
        <f>HYPERLINK("https://about.twitter.com/products/tweetdeck","TweetDeck")</f>
        <v>TweetDeck</v>
      </c>
      <c r="L383" s="13">
        <v>386</v>
      </c>
      <c r="M383" s="13">
        <v>98</v>
      </c>
      <c r="N383" s="13">
        <v>4</v>
      </c>
      <c r="O383" s="15"/>
      <c r="P383" s="6">
        <v>42824.191701388889</v>
      </c>
      <c r="Q383" s="12"/>
      <c r="R383" s="18"/>
      <c r="S383" s="11" t="s">
        <v>678</v>
      </c>
      <c r="T383" s="12"/>
      <c r="U383" s="10" t="str">
        <f>HYPERLINK("https://pbs.twimg.com/profile_images/849621382346534912/rD-7feps.jpg","View")</f>
        <v>View</v>
      </c>
    </row>
    <row r="384" spans="1:21" ht="30.6">
      <c r="A384" s="6">
        <v>43426.499479166669</v>
      </c>
      <c r="B384" s="7" t="str">
        <f>HYPERLINK("https://twitter.com/miguelricNAV","@miguelricNAV")</f>
        <v>@miguelricNAV</v>
      </c>
      <c r="C384" s="8" t="s">
        <v>1529</v>
      </c>
      <c r="D384" s="9" t="s">
        <v>1530</v>
      </c>
      <c r="E384" s="10" t="str">
        <f>HYPERLINK("https://twitter.com/miguelricNAV/status/1065696228900519939","1065696228900519939")</f>
        <v>1065696228900519939</v>
      </c>
      <c r="F384" s="11" t="s">
        <v>1531</v>
      </c>
      <c r="G384" s="12"/>
      <c r="H384" s="12"/>
      <c r="I384" s="13">
        <v>0</v>
      </c>
      <c r="J384" s="13">
        <v>0</v>
      </c>
      <c r="K384" s="14" t="str">
        <f>HYPERLINK("http://twitter.com/download/android","Twitter for Android")</f>
        <v>Twitter for Android</v>
      </c>
      <c r="L384" s="13">
        <v>3000</v>
      </c>
      <c r="M384" s="13">
        <v>3469</v>
      </c>
      <c r="N384" s="13">
        <v>61</v>
      </c>
      <c r="O384" s="15"/>
      <c r="P384" s="6">
        <v>40453.397037037037</v>
      </c>
      <c r="Q384" s="17" t="s">
        <v>1532</v>
      </c>
      <c r="R384" s="16" t="s">
        <v>1533</v>
      </c>
      <c r="S384" s="12"/>
      <c r="T384" s="12"/>
      <c r="U384" s="10" t="str">
        <f>HYPERLINK("https://pbs.twimg.com/profile_images/981602890388328449/W9voNX9J.jpg","View")</f>
        <v>View</v>
      </c>
    </row>
    <row r="385" spans="1:21" ht="30.6">
      <c r="A385" s="6">
        <v>43426.49899305556</v>
      </c>
      <c r="B385" s="7" t="str">
        <f>HYPERLINK("https://twitter.com/tonicesteve","@tonicesteve")</f>
        <v>@tonicesteve</v>
      </c>
      <c r="C385" s="8" t="s">
        <v>1534</v>
      </c>
      <c r="D385" s="9" t="s">
        <v>509</v>
      </c>
      <c r="E385" s="10" t="str">
        <f>HYPERLINK("https://twitter.com/tonicesteve/status/1065696051598958593","1065696051598958593")</f>
        <v>1065696051598958593</v>
      </c>
      <c r="F385" s="11" t="s">
        <v>267</v>
      </c>
      <c r="G385" s="12"/>
      <c r="H385" s="12"/>
      <c r="I385" s="13">
        <v>0</v>
      </c>
      <c r="J385" s="13">
        <v>0</v>
      </c>
      <c r="K385" s="14" t="str">
        <f t="shared" ref="K385:K387" si="78">HYPERLINK("http://twitter.com","Twitter Web Client")</f>
        <v>Twitter Web Client</v>
      </c>
      <c r="L385" s="13">
        <v>3628</v>
      </c>
      <c r="M385" s="13">
        <v>4218</v>
      </c>
      <c r="N385" s="13">
        <v>80</v>
      </c>
      <c r="O385" s="15"/>
      <c r="P385" s="6">
        <v>40516.470347222225</v>
      </c>
      <c r="Q385" s="17" t="s">
        <v>187</v>
      </c>
      <c r="R385" s="16" t="s">
        <v>1535</v>
      </c>
      <c r="S385" s="12"/>
      <c r="T385" s="12"/>
      <c r="U385" s="10" t="str">
        <f>HYPERLINK("https://pbs.twimg.com/profile_images/915298955335958528/nePZrZBq.jpg","View")</f>
        <v>View</v>
      </c>
    </row>
    <row r="386" spans="1:21" ht="30.6">
      <c r="A386" s="6">
        <v>43426.498576388884</v>
      </c>
      <c r="B386" s="7" t="str">
        <f>HYPERLINK("https://twitter.com/Dani_CarpioM","@Dani_CarpioM")</f>
        <v>@Dani_CarpioM</v>
      </c>
      <c r="C386" s="8" t="s">
        <v>1536</v>
      </c>
      <c r="D386" s="9" t="s">
        <v>1537</v>
      </c>
      <c r="E386" s="10" t="str">
        <f>HYPERLINK("https://twitter.com/Dani_CarpioM/status/1065695902432718848","1065695902432718848")</f>
        <v>1065695902432718848</v>
      </c>
      <c r="F386" s="12"/>
      <c r="G386" s="12"/>
      <c r="H386" s="12"/>
      <c r="I386" s="13">
        <v>0</v>
      </c>
      <c r="J386" s="13">
        <v>1</v>
      </c>
      <c r="K386" s="14" t="str">
        <f t="shared" si="78"/>
        <v>Twitter Web Client</v>
      </c>
      <c r="L386" s="13">
        <v>230</v>
      </c>
      <c r="M386" s="13">
        <v>476</v>
      </c>
      <c r="N386" s="13">
        <v>1</v>
      </c>
      <c r="O386" s="15"/>
      <c r="P386" s="6">
        <v>40883.323935185181</v>
      </c>
      <c r="Q386" s="17" t="s">
        <v>160</v>
      </c>
      <c r="R386" s="16" t="s">
        <v>1538</v>
      </c>
      <c r="S386" s="11" t="s">
        <v>1539</v>
      </c>
      <c r="T386" s="12"/>
      <c r="U386" s="10" t="str">
        <f>HYPERLINK("https://pbs.twimg.com/profile_images/1058379281775116289/MCwxT0xp.jpg","View")</f>
        <v>View</v>
      </c>
    </row>
    <row r="387" spans="1:21" ht="30.6">
      <c r="A387" s="6">
        <v>43426.497673611113</v>
      </c>
      <c r="B387" s="7" t="str">
        <f>HYPERLINK("https://twitter.com/taoista56","@taoista56")</f>
        <v>@taoista56</v>
      </c>
      <c r="C387" s="8" t="s">
        <v>1540</v>
      </c>
      <c r="D387" s="9" t="s">
        <v>266</v>
      </c>
      <c r="E387" s="10" t="str">
        <f>HYPERLINK("https://twitter.com/taoista56/status/1065695577105670145","1065695577105670145")</f>
        <v>1065695577105670145</v>
      </c>
      <c r="F387" s="11" t="s">
        <v>267</v>
      </c>
      <c r="G387" s="12"/>
      <c r="H387" s="12"/>
      <c r="I387" s="13">
        <v>0</v>
      </c>
      <c r="J387" s="13">
        <v>0</v>
      </c>
      <c r="K387" s="14" t="str">
        <f t="shared" si="78"/>
        <v>Twitter Web Client</v>
      </c>
      <c r="L387" s="13">
        <v>579</v>
      </c>
      <c r="M387" s="13">
        <v>1914</v>
      </c>
      <c r="N387" s="13">
        <v>6</v>
      </c>
      <c r="O387" s="15"/>
      <c r="P387" s="6">
        <v>40819.501863425925</v>
      </c>
      <c r="Q387" s="17" t="s">
        <v>1541</v>
      </c>
      <c r="R387" s="18"/>
      <c r="S387" s="12"/>
      <c r="T387" s="12"/>
      <c r="U387" s="10" t="str">
        <f>HYPERLINK("https://pbs.twimg.com/profile_images/694232062031740928/1tub_Vsu.png","View")</f>
        <v>View</v>
      </c>
    </row>
    <row r="388" spans="1:21" ht="51">
      <c r="A388" s="6">
        <v>43426.49722222222</v>
      </c>
      <c r="B388" s="7" t="str">
        <f>HYPERLINK("https://twitter.com/ctxt_es","@ctxt_es")</f>
        <v>@ctxt_es</v>
      </c>
      <c r="C388" s="8" t="s">
        <v>285</v>
      </c>
      <c r="D388" s="9" t="s">
        <v>1542</v>
      </c>
      <c r="E388" s="10" t="str">
        <f>HYPERLINK("https://twitter.com/ctxt_es/status/1065695410914643968","1065695410914643968")</f>
        <v>1065695410914643968</v>
      </c>
      <c r="F388" s="11" t="s">
        <v>1543</v>
      </c>
      <c r="G388" s="12"/>
      <c r="H388" s="12"/>
      <c r="I388" s="13">
        <v>2</v>
      </c>
      <c r="J388" s="13">
        <v>2</v>
      </c>
      <c r="K388" s="14" t="str">
        <f>HYPERLINK("https://ads-api.twitter.com","Twitter Ads Composer")</f>
        <v>Twitter Ads Composer</v>
      </c>
      <c r="L388" s="13">
        <v>112739</v>
      </c>
      <c r="M388" s="13">
        <v>4288</v>
      </c>
      <c r="N388" s="13">
        <v>2463</v>
      </c>
      <c r="O388" s="15"/>
      <c r="P388" s="6">
        <v>41981.199641203704</v>
      </c>
      <c r="Q388" s="17" t="s">
        <v>143</v>
      </c>
      <c r="R388" s="16" t="s">
        <v>288</v>
      </c>
      <c r="S388" s="11" t="s">
        <v>289</v>
      </c>
      <c r="T388" s="12"/>
      <c r="U388" s="10" t="str">
        <f>HYPERLINK("https://pbs.twimg.com/profile_images/1062014494296150023/j5taTHQ1.jpg","View")</f>
        <v>View</v>
      </c>
    </row>
    <row r="389" spans="1:21" ht="20.399999999999999">
      <c r="A389" s="6">
        <v>43426.491701388892</v>
      </c>
      <c r="B389" s="7" t="str">
        <f>HYPERLINK("https://twitter.com/rojasocialista","@rojasocialista")</f>
        <v>@rojasocialista</v>
      </c>
      <c r="C389" s="8" t="s">
        <v>1544</v>
      </c>
      <c r="D389" s="9" t="s">
        <v>1545</v>
      </c>
      <c r="E389" s="10" t="str">
        <f>HYPERLINK("https://twitter.com/rojasocialista/status/1065693409896275968","1065693409896275968")</f>
        <v>1065693409896275968</v>
      </c>
      <c r="F389" s="11" t="s">
        <v>335</v>
      </c>
      <c r="G389" s="12"/>
      <c r="H389" s="12"/>
      <c r="I389" s="13">
        <v>0</v>
      </c>
      <c r="J389" s="13">
        <v>0</v>
      </c>
      <c r="K389" s="14" t="str">
        <f>HYPERLINK("http://twitter.com","Twitter Web Client")</f>
        <v>Twitter Web Client</v>
      </c>
      <c r="L389" s="13">
        <v>2624</v>
      </c>
      <c r="M389" s="13">
        <v>2596</v>
      </c>
      <c r="N389" s="13">
        <v>39</v>
      </c>
      <c r="O389" s="15"/>
      <c r="P389" s="6">
        <v>41909.455324074072</v>
      </c>
      <c r="Q389" s="17" t="s">
        <v>1546</v>
      </c>
      <c r="R389" s="16" t="s">
        <v>1547</v>
      </c>
      <c r="S389" s="12"/>
      <c r="T389" s="12"/>
      <c r="U389" s="10" t="str">
        <f>HYPERLINK("https://pbs.twimg.com/profile_images/853268927295651840/NrJbbaHk.jpg","View")</f>
        <v>View</v>
      </c>
    </row>
    <row r="390" spans="1:21" ht="30.6">
      <c r="A390" s="6">
        <v>43426.489780092597</v>
      </c>
      <c r="B390" s="7" t="str">
        <f>HYPERLINK("https://twitter.com/AsunVillaverde","@AsunVillaverde")</f>
        <v>@AsunVillaverde</v>
      </c>
      <c r="C390" s="8" t="s">
        <v>1549</v>
      </c>
      <c r="D390" s="9" t="s">
        <v>1550</v>
      </c>
      <c r="E390" s="10" t="str">
        <f>HYPERLINK("https://twitter.com/AsunVillaverde/status/1065692713725632512","1065692713725632512")</f>
        <v>1065692713725632512</v>
      </c>
      <c r="F390" s="11" t="s">
        <v>292</v>
      </c>
      <c r="G390" s="12"/>
      <c r="H390" s="12"/>
      <c r="I390" s="13">
        <v>1</v>
      </c>
      <c r="J390" s="13">
        <v>0</v>
      </c>
      <c r="K390" s="14" t="str">
        <f>HYPERLINK("http://twitter.com/download/android","Twitter for Android")</f>
        <v>Twitter for Android</v>
      </c>
      <c r="L390" s="13">
        <v>1628</v>
      </c>
      <c r="M390" s="13">
        <v>2735</v>
      </c>
      <c r="N390" s="13">
        <v>28</v>
      </c>
      <c r="O390" s="15"/>
      <c r="P390" s="6">
        <v>40864.214328703703</v>
      </c>
      <c r="Q390" s="17" t="s">
        <v>1553</v>
      </c>
      <c r="R390" s="16" t="s">
        <v>1554</v>
      </c>
      <c r="S390" s="11" t="s">
        <v>1555</v>
      </c>
      <c r="T390" s="12"/>
      <c r="U390" s="10" t="str">
        <f>HYPERLINK("https://pbs.twimg.com/profile_images/870437452762185729/Sm3xIiej.jpg","View")</f>
        <v>View</v>
      </c>
    </row>
    <row r="391" spans="1:21" ht="30.6">
      <c r="A391" s="6">
        <v>43426.489583333328</v>
      </c>
      <c r="B391" s="7" t="str">
        <f>HYPERLINK("https://twitter.com/sextaNoticias","@sextaNoticias")</f>
        <v>@sextaNoticias</v>
      </c>
      <c r="C391" s="8" t="s">
        <v>1556</v>
      </c>
      <c r="D391" s="9" t="s">
        <v>1557</v>
      </c>
      <c r="E391" s="10" t="str">
        <f>HYPERLINK("https://twitter.com/sextaNoticias/status/1065692642175008769","1065692642175008769")</f>
        <v>1065692642175008769</v>
      </c>
      <c r="F391" s="11" t="s">
        <v>1558</v>
      </c>
      <c r="G391" s="12"/>
      <c r="H391" s="12"/>
      <c r="I391" s="13">
        <v>6</v>
      </c>
      <c r="J391" s="13">
        <v>3</v>
      </c>
      <c r="K391" s="14" t="str">
        <f>HYPERLINK("http://dogtrack.es","DogTrack_Oficial")</f>
        <v>DogTrack_Oficial</v>
      </c>
      <c r="L391" s="13">
        <v>1108908</v>
      </c>
      <c r="M391" s="13">
        <v>279</v>
      </c>
      <c r="N391" s="13">
        <v>7292</v>
      </c>
      <c r="O391" s="19" t="s">
        <v>74</v>
      </c>
      <c r="P391" s="6">
        <v>40099.239328703705</v>
      </c>
      <c r="Q391" s="12"/>
      <c r="R391" s="16" t="s">
        <v>1559</v>
      </c>
      <c r="S391" s="11" t="s">
        <v>1560</v>
      </c>
      <c r="T391" s="12"/>
      <c r="U391" s="10" t="str">
        <f>HYPERLINK("https://pbs.twimg.com/profile_images/898970208551022592/hh3ITSK-.jpg","View")</f>
        <v>View</v>
      </c>
    </row>
    <row r="392" spans="1:21" ht="20.399999999999999">
      <c r="A392" s="6">
        <v>43426.488483796296</v>
      </c>
      <c r="B392" s="7" t="str">
        <f>HYPERLINK("https://twitter.com/RTn_avila","@RTn_avila")</f>
        <v>@RTn_avila</v>
      </c>
      <c r="C392" s="8" t="s">
        <v>1561</v>
      </c>
      <c r="D392" s="9" t="s">
        <v>1562</v>
      </c>
      <c r="E392" s="10" t="str">
        <f>HYPERLINK("https://twitter.com/RTn_avila/status/1065692244278198272","1065692244278198272")</f>
        <v>1065692244278198272</v>
      </c>
      <c r="F392" s="11" t="s">
        <v>1563</v>
      </c>
      <c r="G392" s="12"/>
      <c r="H392" s="12"/>
      <c r="I392" s="13">
        <v>0</v>
      </c>
      <c r="J392" s="13">
        <v>0</v>
      </c>
      <c r="K392" s="14" t="str">
        <f>HYPERLINK("https://ifttt.com","IFTTT")</f>
        <v>IFTTT</v>
      </c>
      <c r="L392" s="13">
        <v>496</v>
      </c>
      <c r="M392" s="13">
        <v>857</v>
      </c>
      <c r="N392" s="13">
        <v>10</v>
      </c>
      <c r="O392" s="15"/>
      <c r="P392" s="6">
        <v>42407.707175925927</v>
      </c>
      <c r="Q392" s="17" t="s">
        <v>1564</v>
      </c>
      <c r="R392" s="16" t="s">
        <v>1565</v>
      </c>
      <c r="S392" s="11" t="s">
        <v>1566</v>
      </c>
      <c r="T392" s="12"/>
      <c r="U392" s="10" t="str">
        <f>HYPERLINK("https://pbs.twimg.com/profile_images/907067097401909248/7lbPCqvL.jpg","View")</f>
        <v>View</v>
      </c>
    </row>
    <row r="393" spans="1:21" ht="51">
      <c r="A393" s="6">
        <v>43426.487592592588</v>
      </c>
      <c r="B393" s="7" t="str">
        <f>HYPERLINK("https://twitter.com/sapiens_no_2_1","@sapiens_no_2_1")</f>
        <v>@sapiens_no_2_1</v>
      </c>
      <c r="C393" s="8" t="s">
        <v>1567</v>
      </c>
      <c r="D393" s="9" t="s">
        <v>1568</v>
      </c>
      <c r="E393" s="10" t="str">
        <f>HYPERLINK("https://twitter.com/sapiens_no_2_1/status/1065691921354563585","1065691921354563585")</f>
        <v>1065691921354563585</v>
      </c>
      <c r="F393" s="11" t="s">
        <v>962</v>
      </c>
      <c r="G393" s="12"/>
      <c r="H393" s="12"/>
      <c r="I393" s="13">
        <v>0</v>
      </c>
      <c r="J393" s="13">
        <v>0</v>
      </c>
      <c r="K393" s="14" t="str">
        <f t="shared" ref="K393:K395" si="79">HYPERLINK("http://twitter.com","Twitter Web Client")</f>
        <v>Twitter Web Client</v>
      </c>
      <c r="L393" s="13">
        <v>2696</v>
      </c>
      <c r="M393" s="13">
        <v>2781</v>
      </c>
      <c r="N393" s="13">
        <v>22</v>
      </c>
      <c r="O393" s="15"/>
      <c r="P393" s="6">
        <v>41368.463310185187</v>
      </c>
      <c r="Q393" s="17" t="s">
        <v>1569</v>
      </c>
      <c r="R393" s="16" t="s">
        <v>1570</v>
      </c>
      <c r="S393" s="12"/>
      <c r="T393" s="12"/>
      <c r="U393" s="10" t="str">
        <f>HYPERLINK("https://pbs.twimg.com/profile_images/926217986184286210/kM4X4ENj.jpg","View")</f>
        <v>View</v>
      </c>
    </row>
    <row r="394" spans="1:21" ht="30.6">
      <c r="A394" s="6">
        <v>43426.486909722225</v>
      </c>
      <c r="B394" s="7" t="str">
        <f>HYPERLINK("https://twitter.com/isabelsanbe","@isabelsanbe")</f>
        <v>@isabelsanbe</v>
      </c>
      <c r="C394" s="8" t="s">
        <v>874</v>
      </c>
      <c r="D394" s="9" t="s">
        <v>388</v>
      </c>
      <c r="E394" s="10" t="str">
        <f>HYPERLINK("https://twitter.com/isabelsanbe/status/1065691676738560003","1065691676738560003")</f>
        <v>1065691676738560003</v>
      </c>
      <c r="F394" s="11" t="s">
        <v>1571</v>
      </c>
      <c r="G394" s="12"/>
      <c r="H394" s="12"/>
      <c r="I394" s="13">
        <v>1</v>
      </c>
      <c r="J394" s="13">
        <v>0</v>
      </c>
      <c r="K394" s="14" t="str">
        <f t="shared" si="79"/>
        <v>Twitter Web Client</v>
      </c>
      <c r="L394" s="13">
        <v>2108</v>
      </c>
      <c r="M394" s="13">
        <v>2054</v>
      </c>
      <c r="N394" s="13">
        <v>30</v>
      </c>
      <c r="O394" s="15"/>
      <c r="P394" s="6">
        <v>40671.332951388889</v>
      </c>
      <c r="Q394" s="17" t="s">
        <v>875</v>
      </c>
      <c r="R394" s="16" t="s">
        <v>876</v>
      </c>
      <c r="S394" s="11" t="s">
        <v>877</v>
      </c>
      <c r="T394" s="12"/>
      <c r="U394" s="10" t="str">
        <f>HYPERLINK("https://pbs.twimg.com/profile_images/1054742486726426624/IAaTtMs1.jpg","View")</f>
        <v>View</v>
      </c>
    </row>
    <row r="395" spans="1:21" ht="30.6">
      <c r="A395" s="6">
        <v>43426.486655092594</v>
      </c>
      <c r="B395" s="7" t="str">
        <f>HYPERLINK("https://twitter.com/TribunadeAvila","@TribunadeAvila")</f>
        <v>@TribunadeAvila</v>
      </c>
      <c r="C395" s="8" t="s">
        <v>1572</v>
      </c>
      <c r="D395" s="9" t="s">
        <v>1573</v>
      </c>
      <c r="E395" s="10" t="str">
        <f>HYPERLINK("https://twitter.com/TribunadeAvila/status/1065691583151030273","1065691583151030273")</f>
        <v>1065691583151030273</v>
      </c>
      <c r="F395" s="11" t="s">
        <v>1574</v>
      </c>
      <c r="G395" s="12"/>
      <c r="H395" s="12"/>
      <c r="I395" s="13">
        <v>2</v>
      </c>
      <c r="J395" s="13">
        <v>2</v>
      </c>
      <c r="K395" s="14" t="str">
        <f t="shared" si="79"/>
        <v>Twitter Web Client</v>
      </c>
      <c r="L395" s="13">
        <v>8295</v>
      </c>
      <c r="M395" s="13">
        <v>790</v>
      </c>
      <c r="N395" s="13">
        <v>148</v>
      </c>
      <c r="O395" s="15"/>
      <c r="P395" s="6">
        <v>40952.154826388891</v>
      </c>
      <c r="Q395" s="17" t="s">
        <v>29</v>
      </c>
      <c r="R395" s="18"/>
      <c r="S395" s="11" t="s">
        <v>1575</v>
      </c>
      <c r="T395" s="12"/>
      <c r="U395" s="10" t="str">
        <f>HYPERLINK("https://pbs.twimg.com/profile_images/714395396680900608/-hn5w4kq.jpg","View")</f>
        <v>View</v>
      </c>
    </row>
    <row r="396" spans="1:21" ht="30.6">
      <c r="A396" s="6">
        <v>43426.485509259262</v>
      </c>
      <c r="B396" s="7" t="str">
        <f>HYPERLINK("https://twitter.com/saviscatalans","@saviscatalans")</f>
        <v>@saviscatalans</v>
      </c>
      <c r="C396" s="8" t="s">
        <v>1576</v>
      </c>
      <c r="D396" s="9" t="s">
        <v>1577</v>
      </c>
      <c r="E396" s="10" t="str">
        <f>HYPERLINK("https://twitter.com/saviscatalans/status/1065691166686044161","1065691166686044161")</f>
        <v>1065691166686044161</v>
      </c>
      <c r="F396" s="12"/>
      <c r="G396" s="11" t="s">
        <v>1578</v>
      </c>
      <c r="H396" s="12"/>
      <c r="I396" s="13">
        <v>7</v>
      </c>
      <c r="J396" s="13">
        <v>14</v>
      </c>
      <c r="K396" s="14" t="str">
        <f>HYPERLINK("http://twitter.com/download/iphone","Twitter for iPhone")</f>
        <v>Twitter for iPhone</v>
      </c>
      <c r="L396" s="13">
        <v>3052</v>
      </c>
      <c r="M396" s="13">
        <v>4994</v>
      </c>
      <c r="N396" s="13">
        <v>45</v>
      </c>
      <c r="O396" s="15"/>
      <c r="P396" s="6">
        <v>42563.010219907403</v>
      </c>
      <c r="Q396" s="17" t="s">
        <v>1579</v>
      </c>
      <c r="R396" s="16" t="s">
        <v>1580</v>
      </c>
      <c r="S396" s="11" t="s">
        <v>1581</v>
      </c>
      <c r="T396" s="12"/>
      <c r="U396" s="10" t="str">
        <f>HYPERLINK("https://pbs.twimg.com/profile_images/928529795859787777/By-yD8Jp.jpg","View")</f>
        <v>View</v>
      </c>
    </row>
    <row r="397" spans="1:21" ht="40.799999999999997">
      <c r="A397" s="6">
        <v>43426.482488425929</v>
      </c>
      <c r="B397" s="7" t="str">
        <f>HYPERLINK("https://twitter.com/JusticiaPuta","@JusticiaPuta")</f>
        <v>@JusticiaPuta</v>
      </c>
      <c r="C397" s="8" t="s">
        <v>1582</v>
      </c>
      <c r="D397" s="9" t="s">
        <v>1583</v>
      </c>
      <c r="E397" s="10" t="str">
        <f>HYPERLINK("https://twitter.com/JusticiaPuta/status/1065690072345911297","1065690072345911297")</f>
        <v>1065690072345911297</v>
      </c>
      <c r="F397" s="17" t="s">
        <v>1586</v>
      </c>
      <c r="G397" s="12"/>
      <c r="H397" s="12"/>
      <c r="I397" s="13">
        <v>0</v>
      </c>
      <c r="J397" s="13">
        <v>1</v>
      </c>
      <c r="K397" s="14" t="str">
        <f>HYPERLINK("http://twitter.com","Twitter Web Client")</f>
        <v>Twitter Web Client</v>
      </c>
      <c r="L397" s="13">
        <v>3716</v>
      </c>
      <c r="M397" s="13">
        <v>3503</v>
      </c>
      <c r="N397" s="13">
        <v>31</v>
      </c>
      <c r="O397" s="15"/>
      <c r="P397" s="6">
        <v>42427.428969907407</v>
      </c>
      <c r="Q397" s="12"/>
      <c r="R397" s="16" t="s">
        <v>1587</v>
      </c>
      <c r="S397" s="12"/>
      <c r="T397" s="12"/>
      <c r="U397" s="10" t="str">
        <f>HYPERLINK("https://pbs.twimg.com/profile_images/869209771156570113/8Ltt8HtO.jpg","View")</f>
        <v>View</v>
      </c>
    </row>
    <row r="398" spans="1:21" ht="51">
      <c r="A398" s="6">
        <v>43426.482129629629</v>
      </c>
      <c r="B398" s="7" t="str">
        <f>HYPERLINK("https://twitter.com/AixJuan","@AixJuan")</f>
        <v>@AixJuan</v>
      </c>
      <c r="C398" s="8" t="s">
        <v>1590</v>
      </c>
      <c r="D398" s="9" t="s">
        <v>1591</v>
      </c>
      <c r="E398" s="10" t="str">
        <f>HYPERLINK("https://twitter.com/AixJuan/status/1065689941697544198","1065689941697544198")</f>
        <v>1065689941697544198</v>
      </c>
      <c r="F398" s="12"/>
      <c r="G398" s="11" t="s">
        <v>1592</v>
      </c>
      <c r="H398" s="12"/>
      <c r="I398" s="13">
        <v>2</v>
      </c>
      <c r="J398" s="13">
        <v>2</v>
      </c>
      <c r="K398" s="14" t="str">
        <f>HYPERLINK("http://twitter.com/download/android","Twitter for Android")</f>
        <v>Twitter for Android</v>
      </c>
      <c r="L398" s="13">
        <v>744</v>
      </c>
      <c r="M398" s="13">
        <v>1001</v>
      </c>
      <c r="N398" s="13">
        <v>2</v>
      </c>
      <c r="O398" s="15"/>
      <c r="P398" s="6">
        <v>43183.483391203699</v>
      </c>
      <c r="Q398" s="12"/>
      <c r="R398" s="16" t="s">
        <v>1593</v>
      </c>
      <c r="S398" s="12"/>
      <c r="T398" s="12"/>
      <c r="U398" s="10" t="str">
        <f>HYPERLINK("https://pbs.twimg.com/profile_images/1049530759495766016/rf081c4P.jpg","View")</f>
        <v>View</v>
      </c>
    </row>
    <row r="399" spans="1:21" ht="20.399999999999999">
      <c r="A399" s="6">
        <v>43426.482083333336</v>
      </c>
      <c r="B399" s="7" t="str">
        <f>HYPERLINK("https://twitter.com/CARAPAODOS","@CARAPAODOS")</f>
        <v>@CARAPAODOS</v>
      </c>
      <c r="C399" s="8" t="s">
        <v>1594</v>
      </c>
      <c r="D399" s="9" t="s">
        <v>1595</v>
      </c>
      <c r="E399" s="10" t="str">
        <f>HYPERLINK("https://twitter.com/CARAPAODOS/status/1065689925209767937","1065689925209767937")</f>
        <v>1065689925209767937</v>
      </c>
      <c r="F399" s="11" t="s">
        <v>1596</v>
      </c>
      <c r="G399" s="12"/>
      <c r="H399" s="12"/>
      <c r="I399" s="13">
        <v>0</v>
      </c>
      <c r="J399" s="13">
        <v>0</v>
      </c>
      <c r="K399" s="14" t="str">
        <f t="shared" ref="K399:K400" si="80">HYPERLINK("http://twitter.com","Twitter Web Client")</f>
        <v>Twitter Web Client</v>
      </c>
      <c r="L399" s="13">
        <v>141</v>
      </c>
      <c r="M399" s="13">
        <v>894</v>
      </c>
      <c r="N399" s="13">
        <v>2</v>
      </c>
      <c r="O399" s="15"/>
      <c r="P399" s="6">
        <v>42075.322650462964</v>
      </c>
      <c r="Q399" s="12"/>
      <c r="R399" s="18"/>
      <c r="S399" s="12"/>
      <c r="T399" s="12"/>
      <c r="U399" s="10" t="str">
        <f>HYPERLINK("https://pbs.twimg.com/profile_images/580098942827929600/VnimRBPD.jpg","View")</f>
        <v>View</v>
      </c>
    </row>
    <row r="400" spans="1:21" ht="30.6">
      <c r="A400" s="6">
        <v>43426.48055555555</v>
      </c>
      <c r="B400" s="7" t="str">
        <f>HYPERLINK("https://twitter.com/19Janire","@19Janire")</f>
        <v>@19Janire</v>
      </c>
      <c r="C400" s="8" t="s">
        <v>1597</v>
      </c>
      <c r="D400" s="9" t="s">
        <v>266</v>
      </c>
      <c r="E400" s="10" t="str">
        <f>HYPERLINK("https://twitter.com/19Janire/status/1065689373776187392","1065689373776187392")</f>
        <v>1065689373776187392</v>
      </c>
      <c r="F400" s="11" t="s">
        <v>292</v>
      </c>
      <c r="G400" s="12"/>
      <c r="H400" s="12"/>
      <c r="I400" s="13">
        <v>0</v>
      </c>
      <c r="J400" s="13">
        <v>0</v>
      </c>
      <c r="K400" s="14" t="str">
        <f t="shared" si="80"/>
        <v>Twitter Web Client</v>
      </c>
      <c r="L400" s="13">
        <v>11</v>
      </c>
      <c r="M400" s="13">
        <v>55</v>
      </c>
      <c r="N400" s="13">
        <v>0</v>
      </c>
      <c r="O400" s="15"/>
      <c r="P400" s="6">
        <v>43083.030439814815</v>
      </c>
      <c r="Q400" s="17" t="s">
        <v>851</v>
      </c>
      <c r="R400" s="16" t="s">
        <v>1598</v>
      </c>
      <c r="S400" s="12"/>
      <c r="T400" s="12"/>
      <c r="U400" s="19" t="s">
        <v>368</v>
      </c>
    </row>
    <row r="401" spans="1:21" ht="20.399999999999999">
      <c r="A401" s="6">
        <v>43426.48027777778</v>
      </c>
      <c r="B401" s="7" t="str">
        <f>HYPERLINK("https://twitter.com/ayto2002","@ayto2002")</f>
        <v>@ayto2002</v>
      </c>
      <c r="C401" s="8" t="s">
        <v>1599</v>
      </c>
      <c r="D401" s="9" t="s">
        <v>1328</v>
      </c>
      <c r="E401" s="10" t="str">
        <f>HYPERLINK("https://twitter.com/ayto2002/status/1065689270428540928","1065689270428540928")</f>
        <v>1065689270428540928</v>
      </c>
      <c r="F401" s="11" t="s">
        <v>962</v>
      </c>
      <c r="G401" s="12"/>
      <c r="H401" s="12"/>
      <c r="I401" s="13">
        <v>0</v>
      </c>
      <c r="J401" s="13">
        <v>0</v>
      </c>
      <c r="K401" s="14" t="str">
        <f>HYPERLINK("http://www.facebook.com/twitter","Facebook")</f>
        <v>Facebook</v>
      </c>
      <c r="L401" s="13">
        <v>175</v>
      </c>
      <c r="M401" s="13">
        <v>493</v>
      </c>
      <c r="N401" s="13">
        <v>0</v>
      </c>
      <c r="O401" s="15"/>
      <c r="P401" s="6">
        <v>40840.454699074078</v>
      </c>
      <c r="Q401" s="12"/>
      <c r="R401" s="18"/>
      <c r="S401" s="12"/>
      <c r="T401" s="12"/>
      <c r="U401" s="10" t="str">
        <f>HYPERLINK("https://pbs.twimg.com/profile_images/477010486521638913/cVS-F99U.jpeg","View")</f>
        <v>View</v>
      </c>
    </row>
    <row r="402" spans="1:21" ht="30.6">
      <c r="A402" s="6">
        <v>43426.47929398148</v>
      </c>
      <c r="B402" s="7" t="str">
        <f>HYPERLINK("https://twitter.com/Cambio16","@Cambio16")</f>
        <v>@Cambio16</v>
      </c>
      <c r="C402" s="8" t="s">
        <v>953</v>
      </c>
      <c r="D402" s="9" t="s">
        <v>1138</v>
      </c>
      <c r="E402" s="10" t="str">
        <f>HYPERLINK("https://twitter.com/Cambio16/status/1065688914114027521","1065688914114027521")</f>
        <v>1065688914114027521</v>
      </c>
      <c r="F402" s="11" t="s">
        <v>1139</v>
      </c>
      <c r="G402" s="11" t="s">
        <v>1140</v>
      </c>
      <c r="H402" s="12"/>
      <c r="I402" s="13">
        <v>3</v>
      </c>
      <c r="J402" s="13">
        <v>4</v>
      </c>
      <c r="K402" s="14" t="str">
        <f>HYPERLINK("https://www.hootsuite.com","Hootsuite Inc.")</f>
        <v>Hootsuite Inc.</v>
      </c>
      <c r="L402" s="13">
        <v>17345</v>
      </c>
      <c r="M402" s="13">
        <v>765</v>
      </c>
      <c r="N402" s="13">
        <v>499</v>
      </c>
      <c r="O402" s="15"/>
      <c r="P402" s="6">
        <v>40341.117245370369</v>
      </c>
      <c r="Q402" s="17" t="s">
        <v>143</v>
      </c>
      <c r="R402" s="16" t="s">
        <v>958</v>
      </c>
      <c r="S402" s="11" t="s">
        <v>959</v>
      </c>
      <c r="T402" s="12"/>
      <c r="U402" s="10" t="str">
        <f>HYPERLINK("https://pbs.twimg.com/profile_images/1060221846208069632/vJfJ3_T5.jpg","View")</f>
        <v>View</v>
      </c>
    </row>
    <row r="403" spans="1:21" ht="20.399999999999999">
      <c r="A403" s="6">
        <v>43426.47855324074</v>
      </c>
      <c r="B403" s="7" t="str">
        <f>HYPERLINK("https://twitter.com/N332Tweets","@N332Tweets")</f>
        <v>@N332Tweets</v>
      </c>
      <c r="C403" s="8" t="s">
        <v>1600</v>
      </c>
      <c r="D403" s="9" t="s">
        <v>1601</v>
      </c>
      <c r="E403" s="10" t="str">
        <f>HYPERLINK("https://twitter.com/N332Tweets/status/1065688647993839616","1065688647993839616")</f>
        <v>1065688647993839616</v>
      </c>
      <c r="F403" s="11" t="s">
        <v>1602</v>
      </c>
      <c r="G403" s="11" t="s">
        <v>1603</v>
      </c>
      <c r="H403" s="12"/>
      <c r="I403" s="13">
        <v>0</v>
      </c>
      <c r="J403" s="13">
        <v>0</v>
      </c>
      <c r="K403" s="14" t="str">
        <f>HYPERLINK("https://ifttt.com","IFTTT")</f>
        <v>IFTTT</v>
      </c>
      <c r="L403" s="13">
        <v>940</v>
      </c>
      <c r="M403" s="13">
        <v>1254</v>
      </c>
      <c r="N403" s="13">
        <v>15</v>
      </c>
      <c r="O403" s="15"/>
      <c r="P403" s="6">
        <v>40051.654444444444</v>
      </c>
      <c r="Q403" s="17" t="s">
        <v>1604</v>
      </c>
      <c r="R403" s="16" t="s">
        <v>1605</v>
      </c>
      <c r="S403" s="11" t="s">
        <v>1606</v>
      </c>
      <c r="T403" s="12"/>
      <c r="U403" s="10" t="str">
        <f>HYPERLINK("https://pbs.twimg.com/profile_images/705849275884765184/AKDRDssI.jpg","View")</f>
        <v>View</v>
      </c>
    </row>
    <row r="404" spans="1:21" ht="30.6">
      <c r="A404" s="6">
        <v>43426.477060185185</v>
      </c>
      <c r="B404" s="7" t="str">
        <f>HYPERLINK("https://twitter.com/PedroPmotero","@PedroPmotero")</f>
        <v>@PedroPmotero</v>
      </c>
      <c r="C404" s="8" t="s">
        <v>1057</v>
      </c>
      <c r="D404" s="9" t="s">
        <v>266</v>
      </c>
      <c r="E404" s="10" t="str">
        <f>HYPERLINK("https://twitter.com/PedroPmotero/status/1065688103468167169","1065688103468167169")</f>
        <v>1065688103468167169</v>
      </c>
      <c r="F404" s="11" t="s">
        <v>267</v>
      </c>
      <c r="G404" s="12"/>
      <c r="H404" s="12"/>
      <c r="I404" s="13">
        <v>8</v>
      </c>
      <c r="J404" s="13">
        <v>7</v>
      </c>
      <c r="K404" s="14" t="str">
        <f>HYPERLINK("http://twitter.com/#!/download/ipad","Twitter for iPad")</f>
        <v>Twitter for iPad</v>
      </c>
      <c r="L404" s="13">
        <v>15402</v>
      </c>
      <c r="M404" s="13">
        <v>10701</v>
      </c>
      <c r="N404" s="13">
        <v>105</v>
      </c>
      <c r="O404" s="15"/>
      <c r="P404" s="6">
        <v>40949.024178240739</v>
      </c>
      <c r="Q404" s="17" t="s">
        <v>1058</v>
      </c>
      <c r="R404" s="16" t="s">
        <v>1059</v>
      </c>
      <c r="S404" s="12"/>
      <c r="T404" s="12"/>
      <c r="U404" s="10" t="str">
        <f>HYPERLINK("https://pbs.twimg.com/profile_images/1060236053385220096/HHWME8I9.jpg","View")</f>
        <v>View</v>
      </c>
    </row>
    <row r="405" spans="1:21" ht="40.799999999999997">
      <c r="A405" s="6">
        <v>43426.47625</v>
      </c>
      <c r="B405" s="7" t="str">
        <f>HYPERLINK("https://twitter.com/RoadWatchEU","@RoadWatchEU")</f>
        <v>@RoadWatchEU</v>
      </c>
      <c r="C405" s="8" t="s">
        <v>1607</v>
      </c>
      <c r="D405" s="9" t="s">
        <v>1601</v>
      </c>
      <c r="E405" s="10" t="str">
        <f>HYPERLINK("https://twitter.com/RoadWatchEU/status/1065687810563325952","1065687810563325952")</f>
        <v>1065687810563325952</v>
      </c>
      <c r="F405" s="11" t="s">
        <v>1602</v>
      </c>
      <c r="G405" s="11" t="s">
        <v>1603</v>
      </c>
      <c r="H405" s="12"/>
      <c r="I405" s="13">
        <v>0</v>
      </c>
      <c r="J405" s="13">
        <v>0</v>
      </c>
      <c r="K405" s="14" t="str">
        <f>HYPERLINK("http://publicize.wp.com/","WordPress.com")</f>
        <v>WordPress.com</v>
      </c>
      <c r="L405" s="13">
        <v>1520</v>
      </c>
      <c r="M405" s="13">
        <v>2486</v>
      </c>
      <c r="N405" s="13">
        <v>31</v>
      </c>
      <c r="O405" s="15"/>
      <c r="P405" s="6">
        <v>39952.379907407405</v>
      </c>
      <c r="Q405" s="17" t="s">
        <v>1604</v>
      </c>
      <c r="R405" s="16" t="s">
        <v>1608</v>
      </c>
      <c r="S405" s="11" t="s">
        <v>1609</v>
      </c>
      <c r="T405" s="12"/>
      <c r="U405" s="10" t="str">
        <f>HYPERLINK("https://pbs.twimg.com/profile_images/813101584670486528/x2zRMjZo.jpg","View")</f>
        <v>View</v>
      </c>
    </row>
    <row r="406" spans="1:21" ht="30.6">
      <c r="A406" s="6">
        <v>43426.474236111113</v>
      </c>
      <c r="B406" s="7" t="str">
        <f>HYPERLINK("https://twitter.com/EPCastillayLeon","@EPCastillayLeon")</f>
        <v>@EPCastillayLeon</v>
      </c>
      <c r="C406" s="8" t="s">
        <v>1610</v>
      </c>
      <c r="D406" s="9" t="s">
        <v>1162</v>
      </c>
      <c r="E406" s="10" t="str">
        <f>HYPERLINK("https://twitter.com/EPCastillayLeon/status/1065687080460853248","1065687080460853248")</f>
        <v>1065687080460853248</v>
      </c>
      <c r="F406" s="11" t="s">
        <v>1611</v>
      </c>
      <c r="G406" s="12"/>
      <c r="H406" s="12"/>
      <c r="I406" s="13">
        <v>4</v>
      </c>
      <c r="J406" s="13">
        <v>5</v>
      </c>
      <c r="K406" s="14" t="str">
        <f>HYPERLINK("http://www.europapress.es/castilla-y-leon/","Twitter editor castilla y Leon")</f>
        <v>Twitter editor castilla y Leon</v>
      </c>
      <c r="L406" s="13">
        <v>12472</v>
      </c>
      <c r="M406" s="13">
        <v>284</v>
      </c>
      <c r="N406" s="13">
        <v>315</v>
      </c>
      <c r="O406" s="15"/>
      <c r="P406" s="6">
        <v>40540.381770833337</v>
      </c>
      <c r="Q406" s="12"/>
      <c r="R406" s="16" t="s">
        <v>1613</v>
      </c>
      <c r="S406" s="11" t="s">
        <v>1614</v>
      </c>
      <c r="T406" s="12"/>
      <c r="U406" s="10" t="str">
        <f>HYPERLINK("https://pbs.twimg.com/profile_images/877064181710716928/V9M7EN5a.jpg","View")</f>
        <v>View</v>
      </c>
    </row>
    <row r="407" spans="1:21" ht="20.399999999999999">
      <c r="A407" s="6">
        <v>43426.473460648151</v>
      </c>
      <c r="B407" s="7" t="str">
        <f>HYPERLINK("https://twitter.com/alsajano","@alsajano")</f>
        <v>@alsajano</v>
      </c>
      <c r="C407" s="8" t="s">
        <v>1616</v>
      </c>
      <c r="D407" s="9" t="s">
        <v>1617</v>
      </c>
      <c r="E407" s="10" t="str">
        <f>HYPERLINK("https://twitter.com/alsajano/status/1065686801296367617","1065686801296367617")</f>
        <v>1065686801296367617</v>
      </c>
      <c r="F407" s="11" t="s">
        <v>1618</v>
      </c>
      <c r="G407" s="12"/>
      <c r="H407" s="12"/>
      <c r="I407" s="13">
        <v>0</v>
      </c>
      <c r="J407" s="13">
        <v>0</v>
      </c>
      <c r="K407" s="14" t="str">
        <f>HYPERLINK("https://www.google.com/","Google")</f>
        <v>Google</v>
      </c>
      <c r="L407" s="13">
        <v>506</v>
      </c>
      <c r="M407" s="13">
        <v>378</v>
      </c>
      <c r="N407" s="13">
        <v>44</v>
      </c>
      <c r="O407" s="15"/>
      <c r="P407" s="6">
        <v>41146.711053240739</v>
      </c>
      <c r="Q407" s="17" t="s">
        <v>1619</v>
      </c>
      <c r="R407" s="16" t="s">
        <v>1620</v>
      </c>
      <c r="S407" s="12"/>
      <c r="T407" s="12"/>
      <c r="U407" s="10" t="str">
        <f>HYPERLINK("https://pbs.twimg.com/profile_images/936950684980842497/FVjca-ny.jpg","View")</f>
        <v>View</v>
      </c>
    </row>
    <row r="408" spans="1:21" ht="40.799999999999997">
      <c r="A408" s="6">
        <v>43426.472453703704</v>
      </c>
      <c r="B408" s="7" t="str">
        <f>HYPERLINK("https://twitter.com/rosamariaartal","@rosamariaartal")</f>
        <v>@rosamariaartal</v>
      </c>
      <c r="C408" s="8" t="s">
        <v>1037</v>
      </c>
      <c r="D408" s="9" t="s">
        <v>1621</v>
      </c>
      <c r="E408" s="10" t="str">
        <f>HYPERLINK("https://twitter.com/rosamariaartal/status/1065686437398552576","1065686437398552576")</f>
        <v>1065686437398552576</v>
      </c>
      <c r="F408" s="17" t="s">
        <v>1622</v>
      </c>
      <c r="G408" s="12"/>
      <c r="H408" s="12"/>
      <c r="I408" s="13">
        <v>99</v>
      </c>
      <c r="J408" s="13">
        <v>202</v>
      </c>
      <c r="K408" s="14" t="str">
        <f>HYPERLINK("http://twitter.com/download/android","Twitter for Android")</f>
        <v>Twitter for Android</v>
      </c>
      <c r="L408" s="13">
        <v>103731</v>
      </c>
      <c r="M408" s="13">
        <v>3006</v>
      </c>
      <c r="N408" s="13">
        <v>2702</v>
      </c>
      <c r="O408" s="15"/>
      <c r="P408" s="6">
        <v>40094.444687499999</v>
      </c>
      <c r="Q408" s="17" t="s">
        <v>203</v>
      </c>
      <c r="R408" s="16" t="s">
        <v>1039</v>
      </c>
      <c r="S408" s="11" t="s">
        <v>1040</v>
      </c>
      <c r="T408" s="12"/>
      <c r="U408" s="10" t="str">
        <f>HYPERLINK("https://pbs.twimg.com/profile_images/780888265238974464/fOR4WuD5.jpg","View")</f>
        <v>View</v>
      </c>
    </row>
    <row r="409" spans="1:21" ht="51">
      <c r="A409" s="6">
        <v>43426.471956018519</v>
      </c>
      <c r="B409" s="7" t="str">
        <f>HYPERLINK("https://twitter.com/LfilodelabrechA","@LfilodelabrechA")</f>
        <v>@LfilodelabrechA</v>
      </c>
      <c r="C409" s="8" t="s">
        <v>1623</v>
      </c>
      <c r="D409" s="9" t="s">
        <v>1624</v>
      </c>
      <c r="E409" s="10" t="str">
        <f>HYPERLINK("https://twitter.com/LfilodelabrechA/status/1065686253910323206","1065686253910323206")</f>
        <v>1065686253910323206</v>
      </c>
      <c r="F409" s="12"/>
      <c r="G409" s="12"/>
      <c r="H409" s="12"/>
      <c r="I409" s="13">
        <v>7</v>
      </c>
      <c r="J409" s="13">
        <v>4</v>
      </c>
      <c r="K409" s="14" t="str">
        <f t="shared" ref="K409:K410" si="81">HYPERLINK("http://twitter.com","Twitter Web Client")</f>
        <v>Twitter Web Client</v>
      </c>
      <c r="L409" s="13">
        <v>21281</v>
      </c>
      <c r="M409" s="13">
        <v>16077</v>
      </c>
      <c r="N409" s="13">
        <v>155</v>
      </c>
      <c r="O409" s="15"/>
      <c r="P409" s="6">
        <v>41994.814953703702</v>
      </c>
      <c r="Q409" s="17" t="s">
        <v>1625</v>
      </c>
      <c r="R409" s="16" t="s">
        <v>1626</v>
      </c>
      <c r="S409" s="11" t="s">
        <v>1627</v>
      </c>
      <c r="T409" s="12"/>
      <c r="U409" s="10" t="str">
        <f>HYPERLINK("https://pbs.twimg.com/profile_images/1015231495512915968/1SaMhOsw.jpg","View")</f>
        <v>View</v>
      </c>
    </row>
    <row r="410" spans="1:21" ht="40.799999999999997">
      <c r="A410" s="6">
        <v>43426.471053240741</v>
      </c>
      <c r="B410" s="7" t="str">
        <f>HYPERLINK("https://twitter.com/modescasamayor","@modescasamayor")</f>
        <v>@modescasamayor</v>
      </c>
      <c r="C410" s="8" t="s">
        <v>1628</v>
      </c>
      <c r="D410" s="9" t="s">
        <v>1595</v>
      </c>
      <c r="E410" s="10" t="str">
        <f>HYPERLINK("https://twitter.com/modescasamayor/status/1065685928621035521","1065685928621035521")</f>
        <v>1065685928621035521</v>
      </c>
      <c r="F410" s="11" t="s">
        <v>1596</v>
      </c>
      <c r="G410" s="12"/>
      <c r="H410" s="12"/>
      <c r="I410" s="13">
        <v>0</v>
      </c>
      <c r="J410" s="13">
        <v>0</v>
      </c>
      <c r="K410" s="14" t="str">
        <f t="shared" si="81"/>
        <v>Twitter Web Client</v>
      </c>
      <c r="L410" s="13">
        <v>3074</v>
      </c>
      <c r="M410" s="13">
        <v>5004</v>
      </c>
      <c r="N410" s="13">
        <v>20</v>
      </c>
      <c r="O410" s="15"/>
      <c r="P410" s="6">
        <v>41753.181458333333</v>
      </c>
      <c r="Q410" s="12"/>
      <c r="R410" s="16" t="s">
        <v>1629</v>
      </c>
      <c r="S410" s="12"/>
      <c r="T410" s="12"/>
      <c r="U410" s="10" t="str">
        <f>HYPERLINK("https://pbs.twimg.com/profile_images/857614430523314176/jHHWwDWC.jpg","View")</f>
        <v>View</v>
      </c>
    </row>
    <row r="411" spans="1:21" ht="40.799999999999997">
      <c r="A411" s="6">
        <v>43426.470914351856</v>
      </c>
      <c r="B411" s="7" t="str">
        <f>HYPERLINK("https://twitter.com/Jagospierre","@Jagospierre")</f>
        <v>@Jagospierre</v>
      </c>
      <c r="C411" s="8" t="s">
        <v>1630</v>
      </c>
      <c r="D411" s="9" t="s">
        <v>1631</v>
      </c>
      <c r="E411" s="10" t="str">
        <f>HYPERLINK("https://twitter.com/Jagospierre/status/1065685878977253376","1065685878977253376")</f>
        <v>1065685878977253376</v>
      </c>
      <c r="F411" s="12"/>
      <c r="G411" s="12"/>
      <c r="H411" s="12"/>
      <c r="I411" s="13">
        <v>7</v>
      </c>
      <c r="J411" s="13">
        <v>21</v>
      </c>
      <c r="K411" s="14" t="str">
        <f>HYPERLINK("https://mobile.twitter.com","Twitter Lite")</f>
        <v>Twitter Lite</v>
      </c>
      <c r="L411" s="13">
        <v>2475</v>
      </c>
      <c r="M411" s="13">
        <v>1830</v>
      </c>
      <c r="N411" s="13">
        <v>55</v>
      </c>
      <c r="O411" s="15"/>
      <c r="P411" s="6">
        <v>40591.622199074074</v>
      </c>
      <c r="Q411" s="17" t="s">
        <v>1632</v>
      </c>
      <c r="R411" s="16" t="s">
        <v>1633</v>
      </c>
      <c r="S411" s="11" t="s">
        <v>1634</v>
      </c>
      <c r="T411" s="12"/>
      <c r="U411" s="10" t="str">
        <f>HYPERLINK("https://pbs.twimg.com/profile_images/633947049537470464/c9tYbLGt.jpg","View")</f>
        <v>View</v>
      </c>
    </row>
    <row r="412" spans="1:21" ht="40.799999999999997">
      <c r="A412" s="6">
        <v>43426.4683912037</v>
      </c>
      <c r="B412" s="7" t="str">
        <f>HYPERLINK("https://twitter.com/Jastarojo","@Jastarojo")</f>
        <v>@Jastarojo</v>
      </c>
      <c r="C412" s="8" t="s">
        <v>1314</v>
      </c>
      <c r="D412" s="9" t="s">
        <v>1315</v>
      </c>
      <c r="E412" s="10" t="str">
        <f>HYPERLINK("https://twitter.com/Jastarojo/status/1065684965751431168","1065684965751431168")</f>
        <v>1065684965751431168</v>
      </c>
      <c r="F412" s="11" t="s">
        <v>292</v>
      </c>
      <c r="G412" s="12"/>
      <c r="H412" s="12"/>
      <c r="I412" s="13">
        <v>2</v>
      </c>
      <c r="J412" s="13">
        <v>1</v>
      </c>
      <c r="K412" s="14" t="str">
        <f>HYPERLINK("http://twitter.com/download/android","Twitter for Android")</f>
        <v>Twitter for Android</v>
      </c>
      <c r="L412" s="13">
        <v>138</v>
      </c>
      <c r="M412" s="13">
        <v>59</v>
      </c>
      <c r="N412" s="13">
        <v>5</v>
      </c>
      <c r="O412" s="15"/>
      <c r="P412" s="6">
        <v>40918.79451388889</v>
      </c>
      <c r="Q412" s="12"/>
      <c r="R412" s="16" t="s">
        <v>1318</v>
      </c>
      <c r="S412" s="12"/>
      <c r="T412" s="12"/>
      <c r="U412" s="10" t="str">
        <f>HYPERLINK("https://pbs.twimg.com/profile_images/879770124588371973/6MnzADdX.jpg","View")</f>
        <v>View</v>
      </c>
    </row>
    <row r="413" spans="1:21" ht="20.399999999999999">
      <c r="A413" s="6">
        <v>43426.466840277775</v>
      </c>
      <c r="B413" s="7" t="str">
        <f>HYPERLINK("https://twitter.com/Anita_Thomsen_","@Anita_Thomsen_")</f>
        <v>@Anita_Thomsen_</v>
      </c>
      <c r="C413" s="8" t="s">
        <v>1637</v>
      </c>
      <c r="D413" s="9" t="s">
        <v>855</v>
      </c>
      <c r="E413" s="10" t="str">
        <f>HYPERLINK("https://twitter.com/Anita_Thomsen_/status/1065684403479822336","1065684403479822336")</f>
        <v>1065684403479822336</v>
      </c>
      <c r="F413" s="11" t="s">
        <v>856</v>
      </c>
      <c r="G413" s="12"/>
      <c r="H413" s="12"/>
      <c r="I413" s="13">
        <v>0</v>
      </c>
      <c r="J413" s="13">
        <v>0</v>
      </c>
      <c r="K413" s="14" t="str">
        <f t="shared" ref="K413:K414" si="82">HYPERLINK("http://twitter.com","Twitter Web Client")</f>
        <v>Twitter Web Client</v>
      </c>
      <c r="L413" s="13">
        <v>1073</v>
      </c>
      <c r="M413" s="13">
        <v>2124</v>
      </c>
      <c r="N413" s="13">
        <v>49</v>
      </c>
      <c r="O413" s="15"/>
      <c r="P413" s="6">
        <v>40680.464131944442</v>
      </c>
      <c r="Q413" s="17" t="s">
        <v>805</v>
      </c>
      <c r="R413" s="18"/>
      <c r="S413" s="11" t="s">
        <v>1638</v>
      </c>
      <c r="T413" s="12"/>
      <c r="U413" s="10" t="str">
        <f>HYPERLINK("https://pbs.twimg.com/profile_images/1359534321/9-2-2011.JPG","View")</f>
        <v>View</v>
      </c>
    </row>
    <row r="414" spans="1:21" ht="30.6">
      <c r="A414" s="6">
        <v>43426.466307870374</v>
      </c>
      <c r="B414" s="7" t="str">
        <f>HYPERLINK("https://twitter.com/fonky65","@fonky65")</f>
        <v>@fonky65</v>
      </c>
      <c r="C414" s="8" t="s">
        <v>1639</v>
      </c>
      <c r="D414" s="9" t="s">
        <v>1595</v>
      </c>
      <c r="E414" s="10" t="str">
        <f>HYPERLINK("https://twitter.com/fonky65/status/1065684207320670208","1065684207320670208")</f>
        <v>1065684207320670208</v>
      </c>
      <c r="F414" s="11" t="s">
        <v>1596</v>
      </c>
      <c r="G414" s="12"/>
      <c r="H414" s="12"/>
      <c r="I414" s="13">
        <v>0</v>
      </c>
      <c r="J414" s="13">
        <v>0</v>
      </c>
      <c r="K414" s="14" t="str">
        <f t="shared" si="82"/>
        <v>Twitter Web Client</v>
      </c>
      <c r="L414" s="13">
        <v>681</v>
      </c>
      <c r="M414" s="13">
        <v>548</v>
      </c>
      <c r="N414" s="13">
        <v>15</v>
      </c>
      <c r="O414" s="15"/>
      <c r="P414" s="6">
        <v>40780.500659722224</v>
      </c>
      <c r="Q414" s="12"/>
      <c r="R414" s="16" t="s">
        <v>1640</v>
      </c>
      <c r="S414" s="12"/>
      <c r="T414" s="12"/>
      <c r="U414" s="10" t="str">
        <f>HYPERLINK("https://pbs.twimg.com/profile_images/985051760355168256/JM7krMgw.jpg","View")</f>
        <v>View</v>
      </c>
    </row>
    <row r="415" spans="1:21" ht="51">
      <c r="A415" s="6">
        <v>43426.461678240739</v>
      </c>
      <c r="B415" s="7" t="str">
        <f>HYPERLINK("https://twitter.com/PPSantaFe","@PPSantaFe")</f>
        <v>@PPSantaFe</v>
      </c>
      <c r="C415" s="8" t="s">
        <v>1641</v>
      </c>
      <c r="D415" s="9" t="s">
        <v>1642</v>
      </c>
      <c r="E415" s="10" t="str">
        <f>HYPERLINK("https://twitter.com/PPSantaFe/status/1065682529229914112","1065682529229914112")</f>
        <v>1065682529229914112</v>
      </c>
      <c r="F415" s="12"/>
      <c r="G415" s="11" t="s">
        <v>1643</v>
      </c>
      <c r="H415" s="12"/>
      <c r="I415" s="13">
        <v>2</v>
      </c>
      <c r="J415" s="13">
        <v>2</v>
      </c>
      <c r="K415" s="14" t="str">
        <f t="shared" ref="K415:K417" si="83">HYPERLINK("http://twitter.com/download/android","Twitter for Android")</f>
        <v>Twitter for Android</v>
      </c>
      <c r="L415" s="13">
        <v>951</v>
      </c>
      <c r="M415" s="13">
        <v>452</v>
      </c>
      <c r="N415" s="13">
        <v>23</v>
      </c>
      <c r="O415" s="15"/>
      <c r="P415" s="6">
        <v>40343.414444444446</v>
      </c>
      <c r="Q415" s="17" t="s">
        <v>1644</v>
      </c>
      <c r="R415" s="16" t="s">
        <v>1645</v>
      </c>
      <c r="S415" s="11" t="s">
        <v>1646</v>
      </c>
      <c r="T415" s="12"/>
      <c r="U415" s="10" t="str">
        <f>HYPERLINK("https://pbs.twimg.com/profile_images/1060840827235262464/KyqDv_Tq.jpg","View")</f>
        <v>View</v>
      </c>
    </row>
    <row r="416" spans="1:21" ht="91.8">
      <c r="A416" s="6">
        <v>43426.458113425921</v>
      </c>
      <c r="B416" s="7" t="str">
        <f>HYPERLINK("https://twitter.com/ARMH_Memoria","@ARMH_Memoria")</f>
        <v>@ARMH_Memoria</v>
      </c>
      <c r="C416" s="8" t="s">
        <v>1650</v>
      </c>
      <c r="D416" s="9" t="s">
        <v>1651</v>
      </c>
      <c r="E416" s="10" t="str">
        <f>HYPERLINK("https://twitter.com/ARMH_Memoria/status/1065681238491611136","1065681238491611136")</f>
        <v>1065681238491611136</v>
      </c>
      <c r="F416" s="11" t="s">
        <v>1034</v>
      </c>
      <c r="G416" s="11" t="s">
        <v>578</v>
      </c>
      <c r="H416" s="12"/>
      <c r="I416" s="13">
        <v>125</v>
      </c>
      <c r="J416" s="13">
        <v>114</v>
      </c>
      <c r="K416" s="14" t="str">
        <f t="shared" si="83"/>
        <v>Twitter for Android</v>
      </c>
      <c r="L416" s="13">
        <v>20509</v>
      </c>
      <c r="M416" s="13">
        <v>3389</v>
      </c>
      <c r="N416" s="13">
        <v>302</v>
      </c>
      <c r="O416" s="15"/>
      <c r="P416" s="6">
        <v>41130.059583333335</v>
      </c>
      <c r="Q416" s="12"/>
      <c r="R416" s="16" t="s">
        <v>1654</v>
      </c>
      <c r="S416" s="11" t="s">
        <v>1655</v>
      </c>
      <c r="T416" s="12"/>
      <c r="U416" s="10" t="str">
        <f>HYPERLINK("https://pbs.twimg.com/profile_images/528232983363219456/O872ZNZE.jpeg","View")</f>
        <v>View</v>
      </c>
    </row>
    <row r="417" spans="1:21" ht="30.6">
      <c r="A417" s="6">
        <v>43426.45517361111</v>
      </c>
      <c r="B417" s="7" t="str">
        <f>HYPERLINK("https://twitter.com/Aliole09","@Aliole09")</f>
        <v>@Aliole09</v>
      </c>
      <c r="C417" s="8" t="s">
        <v>1656</v>
      </c>
      <c r="D417" s="9" t="s">
        <v>266</v>
      </c>
      <c r="E417" s="10" t="str">
        <f>HYPERLINK("https://twitter.com/Aliole09/status/1065680171892686853","1065680171892686853")</f>
        <v>1065680171892686853</v>
      </c>
      <c r="F417" s="11" t="s">
        <v>267</v>
      </c>
      <c r="G417" s="12"/>
      <c r="H417" s="12"/>
      <c r="I417" s="13">
        <v>0</v>
      </c>
      <c r="J417" s="13">
        <v>0</v>
      </c>
      <c r="K417" s="14" t="str">
        <f t="shared" si="83"/>
        <v>Twitter for Android</v>
      </c>
      <c r="L417" s="13">
        <v>3614</v>
      </c>
      <c r="M417" s="13">
        <v>3692</v>
      </c>
      <c r="N417" s="13">
        <v>32</v>
      </c>
      <c r="O417" s="15"/>
      <c r="P417" s="6">
        <v>42471.457094907411</v>
      </c>
      <c r="Q417" s="12"/>
      <c r="R417" s="16" t="s">
        <v>1657</v>
      </c>
      <c r="S417" s="12"/>
      <c r="T417" s="12"/>
      <c r="U417" s="10" t="str">
        <f>HYPERLINK("https://pbs.twimg.com/profile_images/971900221092397056/Zjacfho5.jpg","View")</f>
        <v>View</v>
      </c>
    </row>
    <row r="418" spans="1:21" ht="20.399999999999999">
      <c r="A418" s="6">
        <v>43426.452407407407</v>
      </c>
      <c r="B418" s="7" t="str">
        <f>HYPERLINK("https://twitter.com/100piesqrioso","@100piesqrioso")</f>
        <v>@100piesqrioso</v>
      </c>
      <c r="C418" s="8" t="s">
        <v>1658</v>
      </c>
      <c r="D418" s="9" t="s">
        <v>1659</v>
      </c>
      <c r="E418" s="10" t="str">
        <f>HYPERLINK("https://twitter.com/100piesqrioso/status/1065679170200657920","1065679170200657920")</f>
        <v>1065679170200657920</v>
      </c>
      <c r="F418" s="11" t="s">
        <v>1418</v>
      </c>
      <c r="G418" s="12"/>
      <c r="H418" s="12"/>
      <c r="I418" s="13">
        <v>3</v>
      </c>
      <c r="J418" s="13">
        <v>3</v>
      </c>
      <c r="K418" s="14" t="str">
        <f t="shared" ref="K418:K419" si="84">HYPERLINK("http://twitter.com","Twitter Web Client")</f>
        <v>Twitter Web Client</v>
      </c>
      <c r="L418" s="13">
        <v>4502</v>
      </c>
      <c r="M418" s="13">
        <v>4487</v>
      </c>
      <c r="N418" s="13">
        <v>19</v>
      </c>
      <c r="O418" s="15"/>
      <c r="P418" s="6">
        <v>41914.331504629634</v>
      </c>
      <c r="Q418" s="17" t="s">
        <v>1660</v>
      </c>
      <c r="R418" s="16" t="s">
        <v>1661</v>
      </c>
      <c r="S418" s="12"/>
      <c r="T418" s="12"/>
      <c r="U418" s="10" t="str">
        <f>HYPERLINK("https://pbs.twimg.com/profile_images/544904493989507072/UxhtV70s.png","View")</f>
        <v>View</v>
      </c>
    </row>
    <row r="419" spans="1:21" ht="20.399999999999999">
      <c r="A419" s="6">
        <v>43426.447175925925</v>
      </c>
      <c r="B419" s="7" t="str">
        <f t="shared" ref="B419:B420" si="85">HYPERLINK("https://twitter.com/pascalgiovanni4","@pascalgiovanni4")</f>
        <v>@pascalgiovanni4</v>
      </c>
      <c r="C419" s="8" t="s">
        <v>1662</v>
      </c>
      <c r="D419" s="9" t="s">
        <v>1663</v>
      </c>
      <c r="E419" s="10" t="str">
        <f>HYPERLINK("https://twitter.com/pascalgiovanni4/status/1065677277126672386","1065677277126672386")</f>
        <v>1065677277126672386</v>
      </c>
      <c r="F419" s="11" t="s">
        <v>1596</v>
      </c>
      <c r="G419" s="12"/>
      <c r="H419" s="12"/>
      <c r="I419" s="13">
        <v>0</v>
      </c>
      <c r="J419" s="13">
        <v>0</v>
      </c>
      <c r="K419" s="14" t="str">
        <f t="shared" si="84"/>
        <v>Twitter Web Client</v>
      </c>
      <c r="L419" s="13">
        <v>230</v>
      </c>
      <c r="M419" s="13">
        <v>878</v>
      </c>
      <c r="N419" s="13">
        <v>1</v>
      </c>
      <c r="O419" s="15"/>
      <c r="P419" s="6">
        <v>42771.341331018513</v>
      </c>
      <c r="Q419" s="17" t="s">
        <v>1664</v>
      </c>
      <c r="R419" s="18"/>
      <c r="S419" s="12"/>
      <c r="T419" s="12"/>
      <c r="U419" s="10" t="str">
        <f t="shared" ref="U419:U420" si="86">HYPERLINK("https://pbs.twimg.com/profile_images/842758117733683201/c_namZex.jpg","View")</f>
        <v>View</v>
      </c>
    </row>
    <row r="420" spans="1:21" ht="20.399999999999999">
      <c r="A420" s="6">
        <v>43426.447175925925</v>
      </c>
      <c r="B420" s="7" t="str">
        <f t="shared" si="85"/>
        <v>@pascalgiovanni4</v>
      </c>
      <c r="C420" s="8" t="s">
        <v>1662</v>
      </c>
      <c r="D420" s="9" t="s">
        <v>1085</v>
      </c>
      <c r="E420" s="10" t="str">
        <f>HYPERLINK("https://twitter.com/pascalgiovanni4/status/1065677274698211328","1065677274698211328")</f>
        <v>1065677274698211328</v>
      </c>
      <c r="F420" s="11" t="s">
        <v>1665</v>
      </c>
      <c r="G420" s="12"/>
      <c r="H420" s="12"/>
      <c r="I420" s="13">
        <v>0</v>
      </c>
      <c r="J420" s="13">
        <v>0</v>
      </c>
      <c r="K420" s="14" t="str">
        <f t="shared" ref="K420:K421" si="87">HYPERLINK("http://www.facebook.com/twitter","Facebook")</f>
        <v>Facebook</v>
      </c>
      <c r="L420" s="13">
        <v>230</v>
      </c>
      <c r="M420" s="13">
        <v>878</v>
      </c>
      <c r="N420" s="13">
        <v>1</v>
      </c>
      <c r="O420" s="15"/>
      <c r="P420" s="6">
        <v>42771.341331018513</v>
      </c>
      <c r="Q420" s="17" t="s">
        <v>1664</v>
      </c>
      <c r="R420" s="18"/>
      <c r="S420" s="12"/>
      <c r="T420" s="12"/>
      <c r="U420" s="10" t="str">
        <f t="shared" si="86"/>
        <v>View</v>
      </c>
    </row>
    <row r="421" spans="1:21" ht="30.6">
      <c r="A421" s="6">
        <v>43426.446620370371</v>
      </c>
      <c r="B421" s="7" t="str">
        <f>HYPERLINK("https://twitter.com/lopescorza","@lopescorza")</f>
        <v>@lopescorza</v>
      </c>
      <c r="C421" s="8" t="s">
        <v>1666</v>
      </c>
      <c r="D421" s="9" t="s">
        <v>1667</v>
      </c>
      <c r="E421" s="10" t="str">
        <f>HYPERLINK("https://twitter.com/lopescorza/status/1065677073161830400","1065677073161830400")</f>
        <v>1065677073161830400</v>
      </c>
      <c r="F421" s="11" t="s">
        <v>962</v>
      </c>
      <c r="G421" s="12"/>
      <c r="H421" s="12"/>
      <c r="I421" s="13">
        <v>0</v>
      </c>
      <c r="J421" s="13">
        <v>0</v>
      </c>
      <c r="K421" s="14" t="str">
        <f t="shared" si="87"/>
        <v>Facebook</v>
      </c>
      <c r="L421" s="13">
        <v>773</v>
      </c>
      <c r="M421" s="13">
        <v>1917</v>
      </c>
      <c r="N421" s="13">
        <v>10</v>
      </c>
      <c r="O421" s="15"/>
      <c r="P421" s="6">
        <v>41037.926446759258</v>
      </c>
      <c r="Q421" s="17" t="s">
        <v>1668</v>
      </c>
      <c r="R421" s="16" t="s">
        <v>1669</v>
      </c>
      <c r="S421" s="11" t="s">
        <v>1670</v>
      </c>
      <c r="T421" s="12"/>
      <c r="U421" s="10" t="str">
        <f>HYPERLINK("https://pbs.twimg.com/profile_images/902590003091447808/jbU7exQr.jpg","View")</f>
        <v>View</v>
      </c>
    </row>
    <row r="422" spans="1:21" ht="30.6">
      <c r="A422" s="6">
        <v>43426.446550925924</v>
      </c>
      <c r="B422" s="7" t="str">
        <f>HYPERLINK("https://twitter.com/ZonaCien","@ZonaCien")</f>
        <v>@ZonaCien</v>
      </c>
      <c r="C422" s="8" t="s">
        <v>1671</v>
      </c>
      <c r="D422" s="9" t="s">
        <v>1672</v>
      </c>
      <c r="E422" s="10" t="str">
        <f>HYPERLINK("https://twitter.com/ZonaCien/status/1065677048780414976","1065677048780414976")</f>
        <v>1065677048780414976</v>
      </c>
      <c r="F422" s="11" t="s">
        <v>1673</v>
      </c>
      <c r="G422" s="12"/>
      <c r="H422" s="12"/>
      <c r="I422" s="13">
        <v>0</v>
      </c>
      <c r="J422" s="13">
        <v>0</v>
      </c>
      <c r="K422" s="14" t="str">
        <f>HYPERLINK("http://twitter.com","Twitter Web Client")</f>
        <v>Twitter Web Client</v>
      </c>
      <c r="L422" s="13">
        <v>1695</v>
      </c>
      <c r="M422" s="13">
        <v>2983</v>
      </c>
      <c r="N422" s="13">
        <v>2</v>
      </c>
      <c r="O422" s="15"/>
      <c r="P422" s="6">
        <v>43058.027407407411</v>
      </c>
      <c r="Q422" s="17" t="s">
        <v>29</v>
      </c>
      <c r="R422" s="16" t="s">
        <v>1674</v>
      </c>
      <c r="S422" s="12"/>
      <c r="T422" s="12"/>
      <c r="U422" s="10" t="str">
        <f>HYPERLINK("https://pbs.twimg.com/profile_images/985497456321400832/5k-ut29k.jpg","View")</f>
        <v>View</v>
      </c>
    </row>
    <row r="423" spans="1:21" ht="20.399999999999999">
      <c r="A423" s="6">
        <v>43426.446238425924</v>
      </c>
      <c r="B423" s="7" t="str">
        <f>HYPERLINK("https://twitter.com/MVTARDE","@MVTARDE")</f>
        <v>@MVTARDE</v>
      </c>
      <c r="C423" s="8" t="s">
        <v>1675</v>
      </c>
      <c r="D423" s="9" t="s">
        <v>1676</v>
      </c>
      <c r="E423" s="10" t="str">
        <f>HYPERLINK("https://twitter.com/MVTARDE/status/1065676936180043776","1065676936180043776")</f>
        <v>1065676936180043776</v>
      </c>
      <c r="F423" s="11" t="s">
        <v>1677</v>
      </c>
      <c r="G423" s="12"/>
      <c r="H423" s="12"/>
      <c r="I423" s="13">
        <v>2</v>
      </c>
      <c r="J423" s="13">
        <v>5</v>
      </c>
      <c r="K423" s="14" t="str">
        <f>HYPERLINK("http://dogtrack.es","DogTrack_Oficial")</f>
        <v>DogTrack_Oficial</v>
      </c>
      <c r="L423" s="13">
        <v>212686</v>
      </c>
      <c r="M423" s="13">
        <v>158</v>
      </c>
      <c r="N423" s="13">
        <v>707</v>
      </c>
      <c r="O423" s="19" t="s">
        <v>74</v>
      </c>
      <c r="P423" s="6">
        <v>41207.388969907406</v>
      </c>
      <c r="Q423" s="12"/>
      <c r="R423" s="16" t="s">
        <v>1678</v>
      </c>
      <c r="S423" s="11" t="s">
        <v>1679</v>
      </c>
      <c r="T423" s="12"/>
      <c r="U423" s="10" t="str">
        <f>HYPERLINK("https://pbs.twimg.com/profile_images/847471811470282752/bic7Scd0.jpg","View")</f>
        <v>View</v>
      </c>
    </row>
    <row r="424" spans="1:21" ht="51">
      <c r="A424" s="6">
        <v>43426.444965277777</v>
      </c>
      <c r="B424" s="7" t="str">
        <f>HYPERLINK("https://twitter.com/mariano9605","@mariano9605")</f>
        <v>@mariano9605</v>
      </c>
      <c r="C424" s="8" t="s">
        <v>1680</v>
      </c>
      <c r="D424" s="9" t="s">
        <v>1681</v>
      </c>
      <c r="E424" s="10" t="str">
        <f>HYPERLINK("https://twitter.com/mariano9605/status/1065676475683229696","1065676475683229696")</f>
        <v>1065676475683229696</v>
      </c>
      <c r="F424" s="11" t="s">
        <v>267</v>
      </c>
      <c r="G424" s="12"/>
      <c r="H424" s="12"/>
      <c r="I424" s="13">
        <v>6</v>
      </c>
      <c r="J424" s="13">
        <v>3</v>
      </c>
      <c r="K424" s="14" t="str">
        <f t="shared" ref="K424:K427" si="88">HYPERLINK("http://twitter.com","Twitter Web Client")</f>
        <v>Twitter Web Client</v>
      </c>
      <c r="L424" s="13">
        <v>56151</v>
      </c>
      <c r="M424" s="13">
        <v>53995</v>
      </c>
      <c r="N424" s="13">
        <v>303</v>
      </c>
      <c r="O424" s="15"/>
      <c r="P424" s="6">
        <v>40869.540659722225</v>
      </c>
      <c r="Q424" s="17" t="s">
        <v>1682</v>
      </c>
      <c r="R424" s="16" t="s">
        <v>1683</v>
      </c>
      <c r="S424" s="12"/>
      <c r="T424" s="12"/>
      <c r="U424" s="10" t="str">
        <f>HYPERLINK("https://pbs.twimg.com/profile_images/427860629525757952/ohW7e5Pf.jpeg","View")</f>
        <v>View</v>
      </c>
    </row>
    <row r="425" spans="1:21" ht="71.400000000000006">
      <c r="A425" s="6">
        <v>43426.444849537038</v>
      </c>
      <c r="B425" s="7" t="str">
        <f>HYPERLINK("https://twitter.com/jibar0back","@jibar0back")</f>
        <v>@jibar0back</v>
      </c>
      <c r="C425" s="8" t="s">
        <v>1684</v>
      </c>
      <c r="D425" s="9" t="s">
        <v>1685</v>
      </c>
      <c r="E425" s="10" t="str">
        <f>HYPERLINK("https://twitter.com/jibar0back/status/1065676430879670272","1065676430879670272")</f>
        <v>1065676430879670272</v>
      </c>
      <c r="F425" s="11" t="s">
        <v>1686</v>
      </c>
      <c r="G425" s="12"/>
      <c r="H425" s="12"/>
      <c r="I425" s="13">
        <v>1</v>
      </c>
      <c r="J425" s="13">
        <v>3</v>
      </c>
      <c r="K425" s="14" t="str">
        <f t="shared" si="88"/>
        <v>Twitter Web Client</v>
      </c>
      <c r="L425" s="13">
        <v>809</v>
      </c>
      <c r="M425" s="13">
        <v>409</v>
      </c>
      <c r="N425" s="13">
        <v>46</v>
      </c>
      <c r="O425" s="15"/>
      <c r="P425" s="6">
        <v>41551.303912037038</v>
      </c>
      <c r="Q425" s="12"/>
      <c r="R425" s="16" t="s">
        <v>1687</v>
      </c>
      <c r="S425" s="12"/>
      <c r="T425" s="12"/>
      <c r="U425" s="10" t="str">
        <f>HYPERLINK("https://pbs.twimg.com/profile_images/378800000622209791/8a8bebc3dd01c084f380b35c8c24688e.jpeg","View")</f>
        <v>View</v>
      </c>
    </row>
    <row r="426" spans="1:21" ht="40.799999999999997">
      <c r="A426" s="6">
        <v>43426.443553240737</v>
      </c>
      <c r="B426" s="7" t="str">
        <f>HYPERLINK("https://twitter.com/Nibebedes","@Nibebedes")</f>
        <v>@Nibebedes</v>
      </c>
      <c r="C426" s="8" t="s">
        <v>1688</v>
      </c>
      <c r="D426" s="9" t="s">
        <v>1689</v>
      </c>
      <c r="E426" s="10" t="str">
        <f>HYPERLINK("https://twitter.com/Nibebedes/status/1065675962564648965","1065675962564648965")</f>
        <v>1065675962564648965</v>
      </c>
      <c r="F426" s="11" t="s">
        <v>1690</v>
      </c>
      <c r="G426" s="12"/>
      <c r="H426" s="12"/>
      <c r="I426" s="13">
        <v>2</v>
      </c>
      <c r="J426" s="13">
        <v>0</v>
      </c>
      <c r="K426" s="14" t="str">
        <f t="shared" si="88"/>
        <v>Twitter Web Client</v>
      </c>
      <c r="L426" s="13">
        <v>76</v>
      </c>
      <c r="M426" s="13">
        <v>358</v>
      </c>
      <c r="N426" s="13">
        <v>2</v>
      </c>
      <c r="O426" s="15"/>
      <c r="P426" s="6">
        <v>41890.032673611109</v>
      </c>
      <c r="Q426" s="12"/>
      <c r="R426" s="18"/>
      <c r="S426" s="12"/>
      <c r="T426" s="12"/>
      <c r="U426" s="19" t="s">
        <v>368</v>
      </c>
    </row>
    <row r="427" spans="1:21" ht="91.8">
      <c r="A427" s="6">
        <v>43426.440787037034</v>
      </c>
      <c r="B427" s="7" t="str">
        <f>HYPERLINK("https://twitter.com/Sergi1001","@Sergi1001")</f>
        <v>@Sergi1001</v>
      </c>
      <c r="C427" s="8" t="s">
        <v>1691</v>
      </c>
      <c r="D427" s="9" t="s">
        <v>1692</v>
      </c>
      <c r="E427" s="10" t="str">
        <f>HYPERLINK("https://twitter.com/Sergi1001/status/1065674959274557441","1065674959274557441")</f>
        <v>1065674959274557441</v>
      </c>
      <c r="F427" s="11" t="s">
        <v>1330</v>
      </c>
      <c r="G427" s="11" t="s">
        <v>1331</v>
      </c>
      <c r="H427" s="12"/>
      <c r="I427" s="13">
        <v>0</v>
      </c>
      <c r="J427" s="13">
        <v>1</v>
      </c>
      <c r="K427" s="14" t="str">
        <f t="shared" si="88"/>
        <v>Twitter Web Client</v>
      </c>
      <c r="L427" s="13">
        <v>144</v>
      </c>
      <c r="M427" s="13">
        <v>150</v>
      </c>
      <c r="N427" s="13">
        <v>0</v>
      </c>
      <c r="O427" s="15"/>
      <c r="P427" s="6">
        <v>41167.693703703706</v>
      </c>
      <c r="Q427" s="12"/>
      <c r="R427" s="16" t="s">
        <v>1693</v>
      </c>
      <c r="S427" s="12"/>
      <c r="T427" s="12"/>
      <c r="U427" s="10" t="str">
        <f>HYPERLINK("https://pbs.twimg.com/profile_images/870318866727096320/n45pnD8c.jpg","View")</f>
        <v>View</v>
      </c>
    </row>
    <row r="428" spans="1:21" ht="51">
      <c r="A428" s="6">
        <v>43426.439884259264</v>
      </c>
      <c r="B428" s="7" t="str">
        <f>HYPERLINK("https://twitter.com/tupitupitupi2","@tupitupitupi2")</f>
        <v>@tupitupitupi2</v>
      </c>
      <c r="C428" s="8" t="s">
        <v>1694</v>
      </c>
      <c r="D428" s="9" t="s">
        <v>1695</v>
      </c>
      <c r="E428" s="10" t="str">
        <f>HYPERLINK("https://twitter.com/tupitupitupi2/status/1065674635084222464","1065674635084222464")</f>
        <v>1065674635084222464</v>
      </c>
      <c r="F428" s="12"/>
      <c r="G428" s="11" t="s">
        <v>1696</v>
      </c>
      <c r="H428" s="12"/>
      <c r="I428" s="13">
        <v>0</v>
      </c>
      <c r="J428" s="13">
        <v>1</v>
      </c>
      <c r="K428" s="14" t="str">
        <f>HYPERLINK("http://twitter.com/download/android","Twitter for Android")</f>
        <v>Twitter for Android</v>
      </c>
      <c r="L428" s="13">
        <v>2716</v>
      </c>
      <c r="M428" s="13">
        <v>1478</v>
      </c>
      <c r="N428" s="13">
        <v>24</v>
      </c>
      <c r="O428" s="15"/>
      <c r="P428" s="6">
        <v>42305.0466087963</v>
      </c>
      <c r="Q428" s="12"/>
      <c r="R428" s="16" t="s">
        <v>1699</v>
      </c>
      <c r="S428" s="12"/>
      <c r="T428" s="12"/>
      <c r="U428" s="10" t="str">
        <f>HYPERLINK("https://pbs.twimg.com/profile_images/1039371452284317698/A3VxN5kP.jpg","View")</f>
        <v>View</v>
      </c>
    </row>
    <row r="429" spans="1:21" ht="61.2">
      <c r="A429" s="6">
        <v>43426.439652777779</v>
      </c>
      <c r="B429" s="7" t="str">
        <f>HYPERLINK("https://twitter.com/LuisCouto_Gz","@LuisCouto_Gz")</f>
        <v>@LuisCouto_Gz</v>
      </c>
      <c r="C429" s="8" t="s">
        <v>1700</v>
      </c>
      <c r="D429" s="9" t="s">
        <v>1701</v>
      </c>
      <c r="E429" s="10" t="str">
        <f>HYPERLINK("https://twitter.com/LuisCouto_Gz/status/1065674548354457601","1065674548354457601")</f>
        <v>1065674548354457601</v>
      </c>
      <c r="F429" s="17" t="s">
        <v>1705</v>
      </c>
      <c r="G429" s="12"/>
      <c r="H429" s="12"/>
      <c r="I429" s="13">
        <v>0</v>
      </c>
      <c r="J429" s="13">
        <v>0</v>
      </c>
      <c r="K429" s="14" t="str">
        <f t="shared" ref="K429:K430" si="89">HYPERLINK("http://twitter.com","Twitter Web Client")</f>
        <v>Twitter Web Client</v>
      </c>
      <c r="L429" s="13">
        <v>534</v>
      </c>
      <c r="M429" s="13">
        <v>795</v>
      </c>
      <c r="N429" s="13">
        <v>11</v>
      </c>
      <c r="O429" s="15"/>
      <c r="P429" s="6">
        <v>40519.452534722222</v>
      </c>
      <c r="Q429" s="17" t="s">
        <v>1706</v>
      </c>
      <c r="R429" s="16" t="s">
        <v>1707</v>
      </c>
      <c r="S429" s="12"/>
      <c r="T429" s="12"/>
      <c r="U429" s="10" t="str">
        <f>HYPERLINK("https://pbs.twimg.com/profile_images/976478659346300929/uwcKHS7F.jpg","View")</f>
        <v>View</v>
      </c>
    </row>
    <row r="430" spans="1:21" ht="91.8">
      <c r="A430" s="6">
        <v>43426.435729166667</v>
      </c>
      <c r="B430" s="7" t="str">
        <f>HYPERLINK("https://twitter.com/zarasenda","@zarasenda")</f>
        <v>@zarasenda</v>
      </c>
      <c r="C430" s="8" t="s">
        <v>1708</v>
      </c>
      <c r="D430" s="9" t="s">
        <v>1709</v>
      </c>
      <c r="E430" s="10" t="str">
        <f>HYPERLINK("https://twitter.com/zarasenda/status/1065673126854492162","1065673126854492162")</f>
        <v>1065673126854492162</v>
      </c>
      <c r="F430" s="11" t="s">
        <v>1330</v>
      </c>
      <c r="G430" s="11" t="s">
        <v>1331</v>
      </c>
      <c r="H430" s="12"/>
      <c r="I430" s="13">
        <v>0</v>
      </c>
      <c r="J430" s="13">
        <v>0</v>
      </c>
      <c r="K430" s="14" t="str">
        <f t="shared" si="89"/>
        <v>Twitter Web Client</v>
      </c>
      <c r="L430" s="13">
        <v>1139</v>
      </c>
      <c r="M430" s="13">
        <v>1865</v>
      </c>
      <c r="N430" s="13">
        <v>32</v>
      </c>
      <c r="O430" s="15"/>
      <c r="P430" s="6">
        <v>40682.56890046296</v>
      </c>
      <c r="Q430" s="17" t="s">
        <v>76</v>
      </c>
      <c r="R430" s="16" t="s">
        <v>1710</v>
      </c>
      <c r="S430" s="12"/>
      <c r="T430" s="12"/>
      <c r="U430" s="19" t="s">
        <v>368</v>
      </c>
    </row>
    <row r="431" spans="1:21" ht="30.6">
      <c r="A431" s="6">
        <v>43426.435162037036</v>
      </c>
      <c r="B431" s="7" t="str">
        <f>HYPERLINK("https://twitter.com/xep1982","@xep1982")</f>
        <v>@xep1982</v>
      </c>
      <c r="C431" s="8" t="s">
        <v>1711</v>
      </c>
      <c r="D431" s="9" t="s">
        <v>1712</v>
      </c>
      <c r="E431" s="10" t="str">
        <f>HYPERLINK("https://twitter.com/xep1982/status/1065672921472016384","1065672921472016384")</f>
        <v>1065672921472016384</v>
      </c>
      <c r="F431" s="11" t="s">
        <v>292</v>
      </c>
      <c r="G431" s="12"/>
      <c r="H431" s="12"/>
      <c r="I431" s="13">
        <v>1</v>
      </c>
      <c r="J431" s="13">
        <v>1</v>
      </c>
      <c r="K431" s="14" t="str">
        <f t="shared" ref="K431:K432" si="90">HYPERLINK("http://twitter.com/download/android","Twitter for Android")</f>
        <v>Twitter for Android</v>
      </c>
      <c r="L431" s="13">
        <v>121</v>
      </c>
      <c r="M431" s="13">
        <v>254</v>
      </c>
      <c r="N431" s="13">
        <v>2</v>
      </c>
      <c r="O431" s="15"/>
      <c r="P431" s="6">
        <v>40948.395243055558</v>
      </c>
      <c r="Q431" s="17" t="s">
        <v>1713</v>
      </c>
      <c r="R431" s="16" t="s">
        <v>1714</v>
      </c>
      <c r="S431" s="12"/>
      <c r="T431" s="12"/>
      <c r="U431" s="10" t="str">
        <f>HYPERLINK("https://pbs.twimg.com/profile_images/984766343588339713/6awmOsJO.jpg","View")</f>
        <v>View</v>
      </c>
    </row>
    <row r="432" spans="1:21" ht="40.799999999999997">
      <c r="A432" s="6">
        <v>43426.434756944444</v>
      </c>
      <c r="B432" s="7" t="str">
        <f>HYPERLINK("https://twitter.com/luisrueda96","@luisrueda96")</f>
        <v>@luisrueda96</v>
      </c>
      <c r="C432" s="8" t="s">
        <v>1715</v>
      </c>
      <c r="D432" s="9" t="s">
        <v>1716</v>
      </c>
      <c r="E432" s="10" t="str">
        <f>HYPERLINK("https://twitter.com/luisrueda96/status/1065672777263472640","1065672777263472640")</f>
        <v>1065672777263472640</v>
      </c>
      <c r="F432" s="12"/>
      <c r="G432" s="11" t="s">
        <v>1717</v>
      </c>
      <c r="H432" s="12"/>
      <c r="I432" s="13">
        <v>5</v>
      </c>
      <c r="J432" s="13">
        <v>5</v>
      </c>
      <c r="K432" s="14" t="str">
        <f t="shared" si="90"/>
        <v>Twitter for Android</v>
      </c>
      <c r="L432" s="13">
        <v>14423</v>
      </c>
      <c r="M432" s="13">
        <v>15365</v>
      </c>
      <c r="N432" s="13">
        <v>146</v>
      </c>
      <c r="O432" s="15"/>
      <c r="P432" s="6">
        <v>40599.377858796295</v>
      </c>
      <c r="Q432" s="17" t="s">
        <v>1718</v>
      </c>
      <c r="R432" s="16" t="s">
        <v>1719</v>
      </c>
      <c r="S432" s="11" t="s">
        <v>1720</v>
      </c>
      <c r="T432" s="12"/>
      <c r="U432" s="10" t="str">
        <f>HYPERLINK("https://pbs.twimg.com/profile_images/882164980736458752/fZKWNKhR.jpg","View")</f>
        <v>View</v>
      </c>
    </row>
    <row r="433" spans="1:21" ht="30.6">
      <c r="A433" s="6">
        <v>43426.434571759259</v>
      </c>
      <c r="B433" s="7" t="str">
        <f>HYPERLINK("https://twitter.com/CorsarioScout","@CorsarioScout")</f>
        <v>@CorsarioScout</v>
      </c>
      <c r="C433" s="8" t="s">
        <v>1721</v>
      </c>
      <c r="D433" s="9" t="s">
        <v>1722</v>
      </c>
      <c r="E433" s="10" t="str">
        <f>HYPERLINK("https://twitter.com/CorsarioScout/status/1065672709428924417","1065672709428924417")</f>
        <v>1065672709428924417</v>
      </c>
      <c r="F433" s="11" t="s">
        <v>1723</v>
      </c>
      <c r="G433" s="12"/>
      <c r="H433" s="12"/>
      <c r="I433" s="13">
        <v>0</v>
      </c>
      <c r="J433" s="13">
        <v>0</v>
      </c>
      <c r="K433" s="14" t="str">
        <f>HYPERLINK("http://twitter.com","Twitter Web Client")</f>
        <v>Twitter Web Client</v>
      </c>
      <c r="L433" s="13">
        <v>250</v>
      </c>
      <c r="M433" s="13">
        <v>376</v>
      </c>
      <c r="N433" s="13">
        <v>2</v>
      </c>
      <c r="O433" s="15"/>
      <c r="P433" s="6">
        <v>41138.271597222221</v>
      </c>
      <c r="Q433" s="17" t="s">
        <v>1724</v>
      </c>
      <c r="R433" s="16" t="s">
        <v>1725</v>
      </c>
      <c r="S433" s="12"/>
      <c r="T433" s="12"/>
      <c r="U433" s="10" t="str">
        <f>HYPERLINK("https://pbs.twimg.com/profile_images/1055860612448837632/oAocJrOe.jpg","View")</f>
        <v>View</v>
      </c>
    </row>
    <row r="434" spans="1:21" ht="20.399999999999999">
      <c r="A434" s="6">
        <v>43426.43341435185</v>
      </c>
      <c r="B434" s="7" t="str">
        <f>HYPERLINK("https://twitter.com/miketakasi","@miketakasi")</f>
        <v>@miketakasi</v>
      </c>
      <c r="C434" s="8" t="s">
        <v>1726</v>
      </c>
      <c r="D434" s="9" t="s">
        <v>1328</v>
      </c>
      <c r="E434" s="10" t="str">
        <f>HYPERLINK("https://twitter.com/miketakasi/status/1065672290686443520","1065672290686443520")</f>
        <v>1065672290686443520</v>
      </c>
      <c r="F434" s="11" t="s">
        <v>962</v>
      </c>
      <c r="G434" s="12"/>
      <c r="H434" s="12"/>
      <c r="I434" s="13">
        <v>0</v>
      </c>
      <c r="J434" s="13">
        <v>0</v>
      </c>
      <c r="K434" s="14" t="str">
        <f>HYPERLINK("http://www.facebook.com/twitter","Facebook")</f>
        <v>Facebook</v>
      </c>
      <c r="L434" s="13">
        <v>983</v>
      </c>
      <c r="M434" s="13">
        <v>2134</v>
      </c>
      <c r="N434" s="13">
        <v>30</v>
      </c>
      <c r="O434" s="15"/>
      <c r="P434" s="6">
        <v>41057.992141203707</v>
      </c>
      <c r="Q434" s="12"/>
      <c r="R434" s="16" t="s">
        <v>1729</v>
      </c>
      <c r="S434" s="12"/>
      <c r="T434" s="12"/>
      <c r="U434" s="10" t="str">
        <f>HYPERLINK("https://pbs.twimg.com/profile_images/2371305097/w7nc9lkv5zp0cnexr31j.jpeg","View")</f>
        <v>View</v>
      </c>
    </row>
    <row r="435" spans="1:21" ht="30.6">
      <c r="A435" s="6">
        <v>43426.432523148149</v>
      </c>
      <c r="B435" s="7" t="str">
        <f>HYPERLINK("https://twitter.com/ElHuffPost","@ElHuffPost")</f>
        <v>@ElHuffPost</v>
      </c>
      <c r="C435" s="8" t="s">
        <v>467</v>
      </c>
      <c r="D435" s="9" t="s">
        <v>468</v>
      </c>
      <c r="E435" s="10" t="str">
        <f>HYPERLINK("https://twitter.com/ElHuffPost/status/1065671966013751301","1065671966013751301")</f>
        <v>1065671966013751301</v>
      </c>
      <c r="F435" s="11" t="s">
        <v>469</v>
      </c>
      <c r="G435" s="12"/>
      <c r="H435" s="12"/>
      <c r="I435" s="13">
        <v>2</v>
      </c>
      <c r="J435" s="13">
        <v>2</v>
      </c>
      <c r="K435" s="14" t="str">
        <f>HYPERLINK("http://twitter.com","Twitter Web Client")</f>
        <v>Twitter Web Client</v>
      </c>
      <c r="L435" s="13">
        <v>430323</v>
      </c>
      <c r="M435" s="13">
        <v>1532</v>
      </c>
      <c r="N435" s="13">
        <v>8186</v>
      </c>
      <c r="O435" s="19" t="s">
        <v>74</v>
      </c>
      <c r="P435" s="6">
        <v>40784.652118055557</v>
      </c>
      <c r="Q435" s="17" t="s">
        <v>203</v>
      </c>
      <c r="R435" s="16" t="s">
        <v>471</v>
      </c>
      <c r="S435" s="11" t="s">
        <v>472</v>
      </c>
      <c r="T435" s="12"/>
      <c r="U435" s="10" t="str">
        <f>HYPERLINK("https://pbs.twimg.com/profile_images/921140803422089217/ETOEUOAx.jpg","View")</f>
        <v>View</v>
      </c>
    </row>
    <row r="436" spans="1:21" ht="51">
      <c r="A436" s="6">
        <v>43426.431134259255</v>
      </c>
      <c r="B436" s="7" t="str">
        <f>HYPERLINK("https://twitter.com/AbueloBala","@AbueloBala")</f>
        <v>@AbueloBala</v>
      </c>
      <c r="C436" s="8" t="s">
        <v>1264</v>
      </c>
      <c r="D436" s="9" t="s">
        <v>1371</v>
      </c>
      <c r="E436" s="10" t="str">
        <f>HYPERLINK("https://twitter.com/AbueloBala/status/1065671462244270080","1065671462244270080")</f>
        <v>1065671462244270080</v>
      </c>
      <c r="F436" s="11" t="s">
        <v>1373</v>
      </c>
      <c r="G436" s="11" t="s">
        <v>1374</v>
      </c>
      <c r="H436" s="12"/>
      <c r="I436" s="13">
        <v>53</v>
      </c>
      <c r="J436" s="13">
        <v>52</v>
      </c>
      <c r="K436" s="14" t="str">
        <f t="shared" ref="K436:K437" si="91">HYPERLINK("http://twitter.com/download/android","Twitter for Android")</f>
        <v>Twitter for Android</v>
      </c>
      <c r="L436" s="13">
        <v>7387</v>
      </c>
      <c r="M436" s="13">
        <v>580</v>
      </c>
      <c r="N436" s="13">
        <v>46</v>
      </c>
      <c r="O436" s="15"/>
      <c r="P436" s="6">
        <v>42241.251979166671</v>
      </c>
      <c r="Q436" s="12"/>
      <c r="R436" s="16" t="s">
        <v>1266</v>
      </c>
      <c r="S436" s="12"/>
      <c r="T436" s="12"/>
      <c r="U436" s="10" t="str">
        <f>HYPERLINK("https://pbs.twimg.com/profile_images/1014631004571619328/64skuGbr.jpg","View")</f>
        <v>View</v>
      </c>
    </row>
    <row r="437" spans="1:21" ht="30.6">
      <c r="A437" s="6">
        <v>43426.430960648147</v>
      </c>
      <c r="B437" s="7" t="str">
        <f>HYPERLINK("https://twitter.com/fjmerid","@fjmerid")</f>
        <v>@fjmerid</v>
      </c>
      <c r="C437" s="8" t="s">
        <v>1732</v>
      </c>
      <c r="D437" s="9" t="s">
        <v>1733</v>
      </c>
      <c r="E437" s="10" t="str">
        <f>HYPERLINK("https://twitter.com/fjmerid/status/1065671398557921281","1065671398557921281")</f>
        <v>1065671398557921281</v>
      </c>
      <c r="F437" s="11" t="s">
        <v>1734</v>
      </c>
      <c r="G437" s="12"/>
      <c r="H437" s="12"/>
      <c r="I437" s="13">
        <v>0</v>
      </c>
      <c r="J437" s="13">
        <v>0</v>
      </c>
      <c r="K437" s="14" t="str">
        <f t="shared" si="91"/>
        <v>Twitter for Android</v>
      </c>
      <c r="L437" s="13">
        <v>3579</v>
      </c>
      <c r="M437" s="13">
        <v>4573</v>
      </c>
      <c r="N437" s="13">
        <v>36</v>
      </c>
      <c r="O437" s="15"/>
      <c r="P437" s="6">
        <v>40267.020937499998</v>
      </c>
      <c r="Q437" s="12"/>
      <c r="R437" s="18"/>
      <c r="S437" s="12"/>
      <c r="T437" s="12"/>
      <c r="U437" s="10" t="str">
        <f>HYPERLINK("https://pbs.twimg.com/profile_images/1894161557/image.jpg","View")</f>
        <v>View</v>
      </c>
    </row>
    <row r="438" spans="1:21" ht="20.399999999999999">
      <c r="A438" s="6">
        <v>43426.429236111115</v>
      </c>
      <c r="B438" s="7" t="str">
        <f>HYPERLINK("https://twitter.com/castellanapura","@castellanapura")</f>
        <v>@castellanapura</v>
      </c>
      <c r="C438" s="8" t="s">
        <v>1735</v>
      </c>
      <c r="D438" s="9" t="s">
        <v>1595</v>
      </c>
      <c r="E438" s="10" t="str">
        <f>HYPERLINK("https://twitter.com/castellanapura/status/1065670773250113543","1065670773250113543")</f>
        <v>1065670773250113543</v>
      </c>
      <c r="F438" s="11" t="s">
        <v>1596</v>
      </c>
      <c r="G438" s="12"/>
      <c r="H438" s="12"/>
      <c r="I438" s="13">
        <v>0</v>
      </c>
      <c r="J438" s="13">
        <v>0</v>
      </c>
      <c r="K438" s="14" t="str">
        <f t="shared" ref="K438:K440" si="92">HYPERLINK("http://twitter.com","Twitter Web Client")</f>
        <v>Twitter Web Client</v>
      </c>
      <c r="L438" s="13">
        <v>2271</v>
      </c>
      <c r="M438" s="13">
        <v>3970</v>
      </c>
      <c r="N438" s="13">
        <v>98</v>
      </c>
      <c r="O438" s="15"/>
      <c r="P438" s="6">
        <v>41264.145324074074</v>
      </c>
      <c r="Q438" s="12"/>
      <c r="R438" s="16" t="s">
        <v>1736</v>
      </c>
      <c r="S438" s="12"/>
      <c r="T438" s="12"/>
      <c r="U438" s="10" t="str">
        <f>HYPERLINK("https://pbs.twimg.com/profile_images/999929581233754112/1NA6LUp0.jpg","View")</f>
        <v>View</v>
      </c>
    </row>
    <row r="439" spans="1:21" ht="30.6">
      <c r="A439" s="6">
        <v>43426.429131944446</v>
      </c>
      <c r="B439" s="7" t="str">
        <f>HYPERLINK("https://twitter.com/Vespertina1","@Vespertina1")</f>
        <v>@Vespertina1</v>
      </c>
      <c r="C439" s="8" t="s">
        <v>1737</v>
      </c>
      <c r="D439" s="9" t="s">
        <v>266</v>
      </c>
      <c r="E439" s="10" t="str">
        <f>HYPERLINK("https://twitter.com/Vespertina1/status/1065670735438512128","1065670735438512128")</f>
        <v>1065670735438512128</v>
      </c>
      <c r="F439" s="11" t="s">
        <v>267</v>
      </c>
      <c r="G439" s="12"/>
      <c r="H439" s="12"/>
      <c r="I439" s="13">
        <v>0</v>
      </c>
      <c r="J439" s="13">
        <v>2</v>
      </c>
      <c r="K439" s="14" t="str">
        <f t="shared" si="92"/>
        <v>Twitter Web Client</v>
      </c>
      <c r="L439" s="13">
        <v>4095</v>
      </c>
      <c r="M439" s="13">
        <v>3378</v>
      </c>
      <c r="N439" s="13">
        <v>50</v>
      </c>
      <c r="O439" s="15"/>
      <c r="P439" s="6">
        <v>40970.412766203706</v>
      </c>
      <c r="Q439" s="17" t="s">
        <v>76</v>
      </c>
      <c r="R439" s="16" t="s">
        <v>1738</v>
      </c>
      <c r="S439" s="12"/>
      <c r="T439" s="12"/>
      <c r="U439" s="10" t="str">
        <f>HYPERLINK("https://pbs.twimg.com/profile_images/942757067290566657/aGMtO_C0.jpg","View")</f>
        <v>View</v>
      </c>
    </row>
    <row r="440" spans="1:21" ht="30.6">
      <c r="A440" s="6">
        <v>43426.427662037036</v>
      </c>
      <c r="B440" s="7" t="str">
        <f>HYPERLINK("https://twitter.com/pradoalberdi","@pradoalberdi")</f>
        <v>@pradoalberdi</v>
      </c>
      <c r="C440" s="8" t="s">
        <v>817</v>
      </c>
      <c r="D440" s="9" t="s">
        <v>266</v>
      </c>
      <c r="E440" s="10" t="str">
        <f>HYPERLINK("https://twitter.com/pradoalberdi/status/1065670205744054272","1065670205744054272")</f>
        <v>1065670205744054272</v>
      </c>
      <c r="F440" s="11" t="s">
        <v>267</v>
      </c>
      <c r="G440" s="12"/>
      <c r="H440" s="12"/>
      <c r="I440" s="13">
        <v>2</v>
      </c>
      <c r="J440" s="13">
        <v>1</v>
      </c>
      <c r="K440" s="14" t="str">
        <f t="shared" si="92"/>
        <v>Twitter Web Client</v>
      </c>
      <c r="L440" s="13">
        <v>2749</v>
      </c>
      <c r="M440" s="13">
        <v>2753</v>
      </c>
      <c r="N440" s="13">
        <v>76</v>
      </c>
      <c r="O440" s="15"/>
      <c r="P440" s="6">
        <v>39912.622858796298</v>
      </c>
      <c r="Q440" s="17" t="s">
        <v>818</v>
      </c>
      <c r="R440" s="16" t="s">
        <v>819</v>
      </c>
      <c r="S440" s="11" t="s">
        <v>820</v>
      </c>
      <c r="T440" s="12"/>
      <c r="U440" s="10" t="str">
        <f>HYPERLINK("https://pbs.twimg.com/profile_images/1471182899/ALBERDI_PERFIL.jpg","View")</f>
        <v>View</v>
      </c>
    </row>
    <row r="441" spans="1:21" ht="20.399999999999999">
      <c r="A441" s="6">
        <v>43426.427604166667</v>
      </c>
      <c r="B441" s="7" t="str">
        <f>HYPERLINK("https://twitter.com/Marzal_80","@Marzal_80")</f>
        <v>@Marzal_80</v>
      </c>
      <c r="C441" s="8" t="s">
        <v>1740</v>
      </c>
      <c r="D441" s="9" t="s">
        <v>1741</v>
      </c>
      <c r="E441" s="10" t="str">
        <f>HYPERLINK("https://twitter.com/Marzal_80/status/1065670181878489088","1065670181878489088")</f>
        <v>1065670181878489088</v>
      </c>
      <c r="F441" s="12"/>
      <c r="G441" s="12"/>
      <c r="H441" s="12"/>
      <c r="I441" s="13">
        <v>0</v>
      </c>
      <c r="J441" s="13">
        <v>0</v>
      </c>
      <c r="K441" s="14" t="str">
        <f>HYPERLINK("http://twitter.com/download/iphone","Twitter for iPhone")</f>
        <v>Twitter for iPhone</v>
      </c>
      <c r="L441" s="13">
        <v>176</v>
      </c>
      <c r="M441" s="13">
        <v>82</v>
      </c>
      <c r="N441" s="13">
        <v>1</v>
      </c>
      <c r="O441" s="15"/>
      <c r="P441" s="6">
        <v>43386.282442129625</v>
      </c>
      <c r="Q441" s="17" t="s">
        <v>1742</v>
      </c>
      <c r="R441" s="16" t="s">
        <v>1743</v>
      </c>
      <c r="S441" s="12"/>
      <c r="T441" s="12"/>
      <c r="U441" s="10" t="str">
        <f>HYPERLINK("https://pbs.twimg.com/profile_images/1054121555272392706/p7rnmoKe.jpg","View")</f>
        <v>View</v>
      </c>
    </row>
    <row r="442" spans="1:21" ht="40.799999999999997">
      <c r="A442" s="6">
        <v>43426.427129629628</v>
      </c>
      <c r="B442" s="7" t="str">
        <f>HYPERLINK("https://twitter.com/josegabriel467","@josegabriel467")</f>
        <v>@josegabriel467</v>
      </c>
      <c r="C442" s="8" t="s">
        <v>1744</v>
      </c>
      <c r="D442" s="9" t="s">
        <v>1745</v>
      </c>
      <c r="E442" s="10" t="str">
        <f>HYPERLINK("https://twitter.com/josegabriel467/status/1065670010599809029","1065670010599809029")</f>
        <v>1065670010599809029</v>
      </c>
      <c r="F442" s="12"/>
      <c r="G442" s="12"/>
      <c r="H442" s="12"/>
      <c r="I442" s="13">
        <v>0</v>
      </c>
      <c r="J442" s="13">
        <v>0</v>
      </c>
      <c r="K442" s="14" t="str">
        <f>HYPERLINK("http://www.facebook.com/twitter","Facebook")</f>
        <v>Facebook</v>
      </c>
      <c r="L442" s="13">
        <v>1624</v>
      </c>
      <c r="M442" s="13">
        <v>1609</v>
      </c>
      <c r="N442" s="13">
        <v>23</v>
      </c>
      <c r="O442" s="15"/>
      <c r="P442" s="6">
        <v>40844.160150462965</v>
      </c>
      <c r="Q442" s="17" t="s">
        <v>29</v>
      </c>
      <c r="R442" s="16" t="s">
        <v>1746</v>
      </c>
      <c r="S442" s="11" t="s">
        <v>1747</v>
      </c>
      <c r="T442" s="12"/>
      <c r="U442" s="10" t="str">
        <f>HYPERLINK("https://pbs.twimg.com/profile_images/864586721966436354/WwV_o0gL.jpg","View")</f>
        <v>View</v>
      </c>
    </row>
    <row r="443" spans="1:21" ht="30.6">
      <c r="A443" s="6">
        <v>43426.425844907411</v>
      </c>
      <c r="B443" s="7" t="str">
        <f>HYPERLINK("https://twitter.com/BartolomeCano","@BartolomeCano")</f>
        <v>@BartolomeCano</v>
      </c>
      <c r="C443" s="8" t="s">
        <v>1748</v>
      </c>
      <c r="D443" s="9" t="s">
        <v>1749</v>
      </c>
      <c r="E443" s="10" t="str">
        <f>HYPERLINK("https://twitter.com/BartolomeCano/status/1065669546315526145","1065669546315526145")</f>
        <v>1065669546315526145</v>
      </c>
      <c r="F443" s="11" t="s">
        <v>1750</v>
      </c>
      <c r="G443" s="12"/>
      <c r="H443" s="12"/>
      <c r="I443" s="13">
        <v>0</v>
      </c>
      <c r="J443" s="13">
        <v>0</v>
      </c>
      <c r="K443" s="14" t="str">
        <f t="shared" ref="K443:K444" si="93">HYPERLINK("http://twitter.com","Twitter Web Client")</f>
        <v>Twitter Web Client</v>
      </c>
      <c r="L443" s="13">
        <v>674</v>
      </c>
      <c r="M443" s="13">
        <v>2191</v>
      </c>
      <c r="N443" s="13">
        <v>2</v>
      </c>
      <c r="O443" s="15"/>
      <c r="P443" s="6">
        <v>40875.511354166665</v>
      </c>
      <c r="Q443" s="17" t="s">
        <v>1751</v>
      </c>
      <c r="R443" s="16" t="s">
        <v>1752</v>
      </c>
      <c r="S443" s="12"/>
      <c r="T443" s="12"/>
      <c r="U443" s="10" t="str">
        <f>HYPERLINK("https://pbs.twimg.com/profile_images/378800000374291064/445846ef70ab0a1fda0478ae6d7f8483.jpeg","View")</f>
        <v>View</v>
      </c>
    </row>
    <row r="444" spans="1:21" ht="40.799999999999997">
      <c r="A444" s="6">
        <v>43426.422476851847</v>
      </c>
      <c r="B444" s="7" t="str">
        <f>HYPERLINK("https://twitter.com/AbaloneOrtega","@AbaloneOrtega")</f>
        <v>@AbaloneOrtega</v>
      </c>
      <c r="C444" s="8" t="s">
        <v>1753</v>
      </c>
      <c r="D444" s="9" t="s">
        <v>1754</v>
      </c>
      <c r="E444" s="10" t="str">
        <f>HYPERLINK("https://twitter.com/AbaloneOrtega/status/1065668326699999232","1065668326699999232")</f>
        <v>1065668326699999232</v>
      </c>
      <c r="F444" s="12"/>
      <c r="G444" s="12"/>
      <c r="H444" s="12"/>
      <c r="I444" s="13">
        <v>3</v>
      </c>
      <c r="J444" s="13">
        <v>7</v>
      </c>
      <c r="K444" s="14" t="str">
        <f t="shared" si="93"/>
        <v>Twitter Web Client</v>
      </c>
      <c r="L444" s="13">
        <v>4680</v>
      </c>
      <c r="M444" s="13">
        <v>3694</v>
      </c>
      <c r="N444" s="13">
        <v>51</v>
      </c>
      <c r="O444" s="15"/>
      <c r="P444" s="6">
        <v>41249.511354166665</v>
      </c>
      <c r="Q444" s="12"/>
      <c r="R444" s="16" t="s">
        <v>1755</v>
      </c>
      <c r="S444" s="12"/>
      <c r="T444" s="12"/>
      <c r="U444" s="10" t="str">
        <f>HYPERLINK("https://pbs.twimg.com/profile_images/759803574951915524/50ydJhOx.jpg","View")</f>
        <v>View</v>
      </c>
    </row>
    <row r="445" spans="1:21" ht="61.2">
      <c r="A445" s="6">
        <v>43426.421574074076</v>
      </c>
      <c r="B445" s="7" t="str">
        <f>HYPERLINK("https://twitter.com/montpy4","@montpy4")</f>
        <v>@montpy4</v>
      </c>
      <c r="C445" s="8" t="s">
        <v>1756</v>
      </c>
      <c r="D445" s="9" t="s">
        <v>1757</v>
      </c>
      <c r="E445" s="10" t="str">
        <f>HYPERLINK("https://twitter.com/montpy4/status/1065667996239183872","1065667996239183872")</f>
        <v>1065667996239183872</v>
      </c>
      <c r="F445" s="17" t="s">
        <v>1758</v>
      </c>
      <c r="G445" s="12"/>
      <c r="H445" s="12"/>
      <c r="I445" s="13">
        <v>0</v>
      </c>
      <c r="J445" s="13">
        <v>0</v>
      </c>
      <c r="K445" s="14" t="str">
        <f t="shared" ref="K445:K446" si="94">HYPERLINK("http://twitter.com/download/android","Twitter for Android")</f>
        <v>Twitter for Android</v>
      </c>
      <c r="L445" s="13">
        <v>1111</v>
      </c>
      <c r="M445" s="13">
        <v>2219</v>
      </c>
      <c r="N445" s="13">
        <v>23</v>
      </c>
      <c r="O445" s="15"/>
      <c r="P445" s="6">
        <v>41372.725682870368</v>
      </c>
      <c r="Q445" s="17" t="s">
        <v>1759</v>
      </c>
      <c r="R445" s="18"/>
      <c r="S445" s="12"/>
      <c r="T445" s="12"/>
      <c r="U445" s="10" t="str">
        <f>HYPERLINK("https://pbs.twimg.com/profile_images/629288667572342784/3Dh7hyY9.png","View")</f>
        <v>View</v>
      </c>
    </row>
    <row r="446" spans="1:21" ht="51">
      <c r="A446" s="6">
        <v>43426.418715277774</v>
      </c>
      <c r="B446" s="7" t="str">
        <f>HYPERLINK("https://twitter.com/plrmrg","@plrmrg")</f>
        <v>@plrmrg</v>
      </c>
      <c r="C446" s="8" t="s">
        <v>1760</v>
      </c>
      <c r="D446" s="9" t="s">
        <v>1761</v>
      </c>
      <c r="E446" s="10" t="str">
        <f>HYPERLINK("https://twitter.com/plrmrg/status/1065666962062217217","1065666962062217217")</f>
        <v>1065666962062217217</v>
      </c>
      <c r="F446" s="11" t="s">
        <v>1762</v>
      </c>
      <c r="G446" s="11" t="s">
        <v>1763</v>
      </c>
      <c r="H446" s="12"/>
      <c r="I446" s="13">
        <v>1</v>
      </c>
      <c r="J446" s="13">
        <v>3</v>
      </c>
      <c r="K446" s="14" t="str">
        <f t="shared" si="94"/>
        <v>Twitter for Android</v>
      </c>
      <c r="L446" s="13">
        <v>124</v>
      </c>
      <c r="M446" s="13">
        <v>146</v>
      </c>
      <c r="N446" s="13">
        <v>1</v>
      </c>
      <c r="O446" s="15"/>
      <c r="P446" s="6">
        <v>42273.707777777774</v>
      </c>
      <c r="Q446" s="17" t="s">
        <v>1367</v>
      </c>
      <c r="R446" s="16" t="s">
        <v>1764</v>
      </c>
      <c r="S446" s="12"/>
      <c r="T446" s="12"/>
      <c r="U446" s="10" t="str">
        <f>HYPERLINK("https://pbs.twimg.com/profile_images/1065293626367008769/7yc9He5B.jpg","View")</f>
        <v>View</v>
      </c>
    </row>
    <row r="447" spans="1:21" ht="40.799999999999997">
      <c r="A447" s="6">
        <v>43426.41605324074</v>
      </c>
      <c r="B447" s="7" t="str">
        <f>HYPERLINK("https://twitter.com/MBCSANJUAN","@MBCSANJUAN")</f>
        <v>@MBCSANJUAN</v>
      </c>
      <c r="C447" s="8" t="s">
        <v>1765</v>
      </c>
      <c r="D447" s="9" t="s">
        <v>1766</v>
      </c>
      <c r="E447" s="10" t="str">
        <f>HYPERLINK("https://twitter.com/MBCSANJUAN/status/1065665998525800448","1065665998525800448")</f>
        <v>1065665998525800448</v>
      </c>
      <c r="F447" s="11" t="s">
        <v>1767</v>
      </c>
      <c r="G447" s="12"/>
      <c r="H447" s="12"/>
      <c r="I447" s="13">
        <v>0</v>
      </c>
      <c r="J447" s="13">
        <v>0</v>
      </c>
      <c r="K447" s="14" t="str">
        <f t="shared" ref="K447:K449" si="95">HYPERLINK("http://twitter.com","Twitter Web Client")</f>
        <v>Twitter Web Client</v>
      </c>
      <c r="L447" s="13">
        <v>4928</v>
      </c>
      <c r="M447" s="13">
        <v>5349</v>
      </c>
      <c r="N447" s="13">
        <v>16</v>
      </c>
      <c r="O447" s="15"/>
      <c r="P447" s="6">
        <v>40621.571145833332</v>
      </c>
      <c r="Q447" s="12"/>
      <c r="R447" s="18"/>
      <c r="S447" s="12"/>
      <c r="T447" s="12"/>
      <c r="U447" s="10" t="str">
        <f>HYPERLINK("https://pbs.twimg.com/profile_images/1617655494/CARACOL_embargado.jpg","View")</f>
        <v>View</v>
      </c>
    </row>
    <row r="448" spans="1:21" ht="61.2">
      <c r="A448" s="6">
        <v>43426.414687500001</v>
      </c>
      <c r="B448" s="7" t="str">
        <f>HYPERLINK("https://twitter.com/bandolerochato","@bandolerochato")</f>
        <v>@bandolerochato</v>
      </c>
      <c r="C448" s="8" t="s">
        <v>1768</v>
      </c>
      <c r="D448" s="9" t="s">
        <v>1769</v>
      </c>
      <c r="E448" s="10" t="str">
        <f>HYPERLINK("https://twitter.com/bandolerochato/status/1065665503090237441","1065665503090237441")</f>
        <v>1065665503090237441</v>
      </c>
      <c r="F448" s="11" t="s">
        <v>1770</v>
      </c>
      <c r="G448" s="11" t="s">
        <v>1771</v>
      </c>
      <c r="H448" s="12"/>
      <c r="I448" s="13">
        <v>0</v>
      </c>
      <c r="J448" s="13">
        <v>0</v>
      </c>
      <c r="K448" s="14" t="str">
        <f t="shared" si="95"/>
        <v>Twitter Web Client</v>
      </c>
      <c r="L448" s="13">
        <v>624</v>
      </c>
      <c r="M448" s="13">
        <v>1224</v>
      </c>
      <c r="N448" s="13">
        <v>2</v>
      </c>
      <c r="O448" s="15"/>
      <c r="P448" s="6">
        <v>41331.411111111112</v>
      </c>
      <c r="Q448" s="12"/>
      <c r="R448" s="18"/>
      <c r="S448" s="12"/>
      <c r="T448" s="12"/>
      <c r="U448" s="10" t="str">
        <f>HYPERLINK("https://pbs.twimg.com/profile_images/3311607511/c5d8c6c3cc019abcc10619ed8701dc16.jpeg","View")</f>
        <v>View</v>
      </c>
    </row>
    <row r="449" spans="1:21" ht="40.799999999999997">
      <c r="A449" s="6">
        <v>43426.414664351847</v>
      </c>
      <c r="B449" s="7" t="str">
        <f>HYPERLINK("https://twitter.com/zorrito1984","@zorrito1984")</f>
        <v>@zorrito1984</v>
      </c>
      <c r="C449" s="8" t="s">
        <v>1776</v>
      </c>
      <c r="D449" s="9" t="s">
        <v>1777</v>
      </c>
      <c r="E449" s="10" t="str">
        <f>HYPERLINK("https://twitter.com/zorrito1984/status/1065665494538207232","1065665494538207232")</f>
        <v>1065665494538207232</v>
      </c>
      <c r="F449" s="11" t="s">
        <v>1780</v>
      </c>
      <c r="G449" s="12"/>
      <c r="H449" s="12"/>
      <c r="I449" s="13">
        <v>0</v>
      </c>
      <c r="J449" s="13">
        <v>0</v>
      </c>
      <c r="K449" s="14" t="str">
        <f t="shared" si="95"/>
        <v>Twitter Web Client</v>
      </c>
      <c r="L449" s="13">
        <v>443</v>
      </c>
      <c r="M449" s="13">
        <v>397</v>
      </c>
      <c r="N449" s="13">
        <v>1</v>
      </c>
      <c r="O449" s="15"/>
      <c r="P449" s="6">
        <v>41489.950983796298</v>
      </c>
      <c r="Q449" s="17" t="s">
        <v>1781</v>
      </c>
      <c r="R449" s="16" t="s">
        <v>1782</v>
      </c>
      <c r="S449" s="12"/>
      <c r="T449" s="12"/>
      <c r="U449" s="10" t="str">
        <f>HYPERLINK("https://pbs.twimg.com/profile_images/950642100458151936/TMQ1JBma.jpg","View")</f>
        <v>View</v>
      </c>
    </row>
    <row r="450" spans="1:21" ht="40.799999999999997">
      <c r="A450" s="6">
        <v>43426.413310185184</v>
      </c>
      <c r="B450" s="7" t="str">
        <f>HYPERLINK("https://twitter.com/Blutbad_","@Blutbad_")</f>
        <v>@Blutbad_</v>
      </c>
      <c r="C450" s="8" t="s">
        <v>1783</v>
      </c>
      <c r="D450" s="9" t="s">
        <v>1784</v>
      </c>
      <c r="E450" s="10" t="str">
        <f>HYPERLINK("https://twitter.com/Blutbad_/status/1065665002374406146","1065665002374406146")</f>
        <v>1065665002374406146</v>
      </c>
      <c r="F450" s="12"/>
      <c r="G450" s="12"/>
      <c r="H450" s="12"/>
      <c r="I450" s="13">
        <v>0</v>
      </c>
      <c r="J450" s="13">
        <v>1</v>
      </c>
      <c r="K450" s="14" t="str">
        <f t="shared" ref="K450:K453" si="96">HYPERLINK("http://twitter.com/download/android","Twitter for Android")</f>
        <v>Twitter for Android</v>
      </c>
      <c r="L450" s="13">
        <v>460</v>
      </c>
      <c r="M450" s="13">
        <v>367</v>
      </c>
      <c r="N450" s="13">
        <v>15</v>
      </c>
      <c r="O450" s="15"/>
      <c r="P450" s="6">
        <v>40678.598078703704</v>
      </c>
      <c r="Q450" s="17" t="s">
        <v>1785</v>
      </c>
      <c r="R450" s="16" t="s">
        <v>1786</v>
      </c>
      <c r="S450" s="12"/>
      <c r="T450" s="12"/>
      <c r="U450" s="10" t="str">
        <f>HYPERLINK("https://pbs.twimg.com/profile_images/476175061674500098/OZXc6RSL.jpeg","View")</f>
        <v>View</v>
      </c>
    </row>
    <row r="451" spans="1:21" ht="40.799999999999997">
      <c r="A451" s="6">
        <v>43426.41070601852</v>
      </c>
      <c r="B451" s="7" t="str">
        <f>HYPERLINK("https://twitter.com/Miguel__02","@Miguel__02")</f>
        <v>@Miguel__02</v>
      </c>
      <c r="C451" s="8" t="s">
        <v>1787</v>
      </c>
      <c r="D451" s="9" t="s">
        <v>1789</v>
      </c>
      <c r="E451" s="10" t="str">
        <f>HYPERLINK("https://twitter.com/Miguel__02/status/1065664057489965059","1065664057489965059")</f>
        <v>1065664057489965059</v>
      </c>
      <c r="F451" s="12"/>
      <c r="G451" s="12"/>
      <c r="H451" s="12"/>
      <c r="I451" s="13">
        <v>0</v>
      </c>
      <c r="J451" s="13">
        <v>0</v>
      </c>
      <c r="K451" s="14" t="str">
        <f t="shared" si="96"/>
        <v>Twitter for Android</v>
      </c>
      <c r="L451" s="13">
        <v>130</v>
      </c>
      <c r="M451" s="13">
        <v>198</v>
      </c>
      <c r="N451" s="13">
        <v>1</v>
      </c>
      <c r="O451" s="15"/>
      <c r="P451" s="6">
        <v>41531.25309027778</v>
      </c>
      <c r="Q451" s="17" t="s">
        <v>1790</v>
      </c>
      <c r="R451" s="16" t="s">
        <v>1791</v>
      </c>
      <c r="S451" s="11" t="s">
        <v>1792</v>
      </c>
      <c r="T451" s="12"/>
      <c r="U451" s="10" t="str">
        <f>HYPERLINK("https://pbs.twimg.com/profile_images/1061741729202745344/AJsCLGYP.jpg","View")</f>
        <v>View</v>
      </c>
    </row>
    <row r="452" spans="1:21" ht="40.799999999999997">
      <c r="A452" s="6">
        <v>43426.408854166672</v>
      </c>
      <c r="B452" s="7" t="str">
        <f>HYPERLINK("https://twitter.com/VamAguilera","@VamAguilera")</f>
        <v>@VamAguilera</v>
      </c>
      <c r="C452" s="8" t="s">
        <v>1794</v>
      </c>
      <c r="D452" s="9" t="s">
        <v>1795</v>
      </c>
      <c r="E452" s="10" t="str">
        <f>HYPERLINK("https://twitter.com/VamAguilera/status/1065663388573941760","1065663388573941760")</f>
        <v>1065663388573941760</v>
      </c>
      <c r="F452" s="17" t="s">
        <v>910</v>
      </c>
      <c r="G452" s="12"/>
      <c r="H452" s="12"/>
      <c r="I452" s="13">
        <v>0</v>
      </c>
      <c r="J452" s="13">
        <v>0</v>
      </c>
      <c r="K452" s="14" t="str">
        <f t="shared" si="96"/>
        <v>Twitter for Android</v>
      </c>
      <c r="L452" s="13">
        <v>3052</v>
      </c>
      <c r="M452" s="13">
        <v>3097</v>
      </c>
      <c r="N452" s="13">
        <v>34</v>
      </c>
      <c r="O452" s="15"/>
      <c r="P452" s="6">
        <v>41045.382418981484</v>
      </c>
      <c r="Q452" s="17" t="s">
        <v>1796</v>
      </c>
      <c r="R452" s="16" t="s">
        <v>1797</v>
      </c>
      <c r="S452" s="11" t="s">
        <v>1798</v>
      </c>
      <c r="T452" s="12"/>
      <c r="U452" s="10" t="str">
        <f>HYPERLINK("https://pbs.twimg.com/profile_images/2223816944/foto_vam_aguilera.jpg","View")</f>
        <v>View</v>
      </c>
    </row>
    <row r="453" spans="1:21" ht="30.6">
      <c r="A453" s="6">
        <v>43426.406157407408</v>
      </c>
      <c r="B453" s="7" t="str">
        <f>HYPERLINK("https://twitter.com/LuisVicenteTor8","@LuisVicenteTor8")</f>
        <v>@LuisVicenteTor8</v>
      </c>
      <c r="C453" s="8" t="s">
        <v>1799</v>
      </c>
      <c r="D453" s="9" t="s">
        <v>1800</v>
      </c>
      <c r="E453" s="10" t="str">
        <f>HYPERLINK("https://twitter.com/LuisVicenteTor8/status/1065662410751700993","1065662410751700993")</f>
        <v>1065662410751700993</v>
      </c>
      <c r="F453" s="11" t="s">
        <v>1801</v>
      </c>
      <c r="G453" s="12"/>
      <c r="H453" s="12"/>
      <c r="I453" s="13">
        <v>0</v>
      </c>
      <c r="J453" s="13">
        <v>0</v>
      </c>
      <c r="K453" s="14" t="str">
        <f t="shared" si="96"/>
        <v>Twitter for Android</v>
      </c>
      <c r="L453" s="13">
        <v>67</v>
      </c>
      <c r="M453" s="13">
        <v>331</v>
      </c>
      <c r="N453" s="13">
        <v>0</v>
      </c>
      <c r="O453" s="15"/>
      <c r="P453" s="6">
        <v>43354.43141203704</v>
      </c>
      <c r="Q453" s="17" t="s">
        <v>430</v>
      </c>
      <c r="R453" s="16" t="s">
        <v>1802</v>
      </c>
      <c r="S453" s="11" t="s">
        <v>1803</v>
      </c>
      <c r="T453" s="12"/>
      <c r="U453" s="10" t="str">
        <f>HYPERLINK("https://pbs.twimg.com/profile_images/1041672843493351425/LcB3kYBL.jpg","View")</f>
        <v>View</v>
      </c>
    </row>
    <row r="454" spans="1:21" ht="20.399999999999999">
      <c r="A454" s="6">
        <v>43426.406145833331</v>
      </c>
      <c r="B454" s="7" t="str">
        <f>HYPERLINK("https://twitter.com/LolesRipoll","@LolesRipoll")</f>
        <v>@LolesRipoll</v>
      </c>
      <c r="C454" s="8" t="s">
        <v>1804</v>
      </c>
      <c r="D454" s="9" t="s">
        <v>697</v>
      </c>
      <c r="E454" s="10" t="str">
        <f>HYPERLINK("https://twitter.com/LolesRipoll/status/1065662405441671169","1065662405441671169")</f>
        <v>1065662405441671169</v>
      </c>
      <c r="F454" s="11" t="s">
        <v>955</v>
      </c>
      <c r="G454" s="12"/>
      <c r="H454" s="12"/>
      <c r="I454" s="13">
        <v>0</v>
      </c>
      <c r="J454" s="13">
        <v>1</v>
      </c>
      <c r="K454" s="14" t="str">
        <f>HYPERLINK("http://www.facebook.com/twitter","Facebook")</f>
        <v>Facebook</v>
      </c>
      <c r="L454" s="13">
        <v>3661</v>
      </c>
      <c r="M454" s="13">
        <v>4069</v>
      </c>
      <c r="N454" s="13">
        <v>89</v>
      </c>
      <c r="O454" s="15"/>
      <c r="P454" s="6">
        <v>41182.320694444446</v>
      </c>
      <c r="Q454" s="17" t="s">
        <v>1805</v>
      </c>
      <c r="R454" s="16" t="s">
        <v>1806</v>
      </c>
      <c r="S454" s="11" t="s">
        <v>1807</v>
      </c>
      <c r="T454" s="12"/>
      <c r="U454" s="10" t="str">
        <f>HYPERLINK("https://pbs.twimg.com/profile_images/761071731763089408/OIDMJm6H.jpg","View")</f>
        <v>View</v>
      </c>
    </row>
    <row r="455" spans="1:21" ht="30.6">
      <c r="A455" s="6">
        <v>43426.406076388885</v>
      </c>
      <c r="B455" s="7" t="str">
        <f>HYPERLINK("https://twitter.com/JesusPellejer","@JesusPellejer")</f>
        <v>@JesusPellejer</v>
      </c>
      <c r="C455" s="8" t="s">
        <v>882</v>
      </c>
      <c r="D455" s="9" t="s">
        <v>266</v>
      </c>
      <c r="E455" s="10" t="str">
        <f>HYPERLINK("https://twitter.com/JesusPellejer/status/1065662381982920705","1065662381982920705")</f>
        <v>1065662381982920705</v>
      </c>
      <c r="F455" s="11" t="s">
        <v>267</v>
      </c>
      <c r="G455" s="12"/>
      <c r="H455" s="12"/>
      <c r="I455" s="13">
        <v>0</v>
      </c>
      <c r="J455" s="13">
        <v>0</v>
      </c>
      <c r="K455" s="14" t="str">
        <f>HYPERLINK("http://twitter.com","Twitter Web Client")</f>
        <v>Twitter Web Client</v>
      </c>
      <c r="L455" s="13">
        <v>271</v>
      </c>
      <c r="M455" s="13">
        <v>645</v>
      </c>
      <c r="N455" s="13">
        <v>1</v>
      </c>
      <c r="O455" s="15"/>
      <c r="P455" s="6">
        <v>42658.174571759257</v>
      </c>
      <c r="Q455" s="12"/>
      <c r="R455" s="18"/>
      <c r="S455" s="12"/>
      <c r="T455" s="12"/>
      <c r="U455" s="10" t="str">
        <f>HYPERLINK("https://pbs.twimg.com/profile_images/940655401229529088/-6umzXFL.jpg","View")</f>
        <v>View</v>
      </c>
    </row>
    <row r="456" spans="1:21" ht="51">
      <c r="A456" s="6">
        <v>43426.404722222222</v>
      </c>
      <c r="B456" s="7" t="str">
        <f>HYPERLINK("https://twitter.com/El_TylerDurden","@El_TylerDurden")</f>
        <v>@El_TylerDurden</v>
      </c>
      <c r="C456" s="8" t="s">
        <v>1808</v>
      </c>
      <c r="D456" s="9" t="s">
        <v>1809</v>
      </c>
      <c r="E456" s="10" t="str">
        <f>HYPERLINK("https://twitter.com/El_TylerDurden/status/1065661890251116544","1065661890251116544")</f>
        <v>1065661890251116544</v>
      </c>
      <c r="F456" s="12"/>
      <c r="G456" s="12"/>
      <c r="H456" s="12"/>
      <c r="I456" s="13">
        <v>2</v>
      </c>
      <c r="J456" s="13">
        <v>0</v>
      </c>
      <c r="K456" s="14" t="str">
        <f>HYPERLINK("http://twitter.com/download/android","Twitter for Android")</f>
        <v>Twitter for Android</v>
      </c>
      <c r="L456" s="13">
        <v>266</v>
      </c>
      <c r="M456" s="13">
        <v>132</v>
      </c>
      <c r="N456" s="13">
        <v>6</v>
      </c>
      <c r="O456" s="15"/>
      <c r="P456" s="6">
        <v>43335.723796296297</v>
      </c>
      <c r="Q456" s="17" t="s">
        <v>1810</v>
      </c>
      <c r="R456" s="16" t="s">
        <v>1811</v>
      </c>
      <c r="S456" s="11" t="s">
        <v>1812</v>
      </c>
      <c r="T456" s="12"/>
      <c r="U456" s="10" t="str">
        <f>HYPERLINK("https://pbs.twimg.com/profile_images/1058188751921393665/80NjvJER.jpg","View")</f>
        <v>View</v>
      </c>
    </row>
    <row r="457" spans="1:21" ht="30.6">
      <c r="A457" s="6">
        <v>43426.404560185183</v>
      </c>
      <c r="B457" s="7" t="str">
        <f>HYPERLINK("https://twitter.com/joseantoniogo43","@joseantoniogo43")</f>
        <v>@joseantoniogo43</v>
      </c>
      <c r="C457" s="8" t="s">
        <v>1813</v>
      </c>
      <c r="D457" s="9" t="s">
        <v>266</v>
      </c>
      <c r="E457" s="10" t="str">
        <f>HYPERLINK("https://twitter.com/joseantoniogo43/status/1065661831220527105","1065661831220527105")</f>
        <v>1065661831220527105</v>
      </c>
      <c r="F457" s="11" t="s">
        <v>292</v>
      </c>
      <c r="G457" s="12"/>
      <c r="H457" s="12"/>
      <c r="I457" s="13">
        <v>0</v>
      </c>
      <c r="J457" s="13">
        <v>0</v>
      </c>
      <c r="K457" s="14" t="str">
        <f>HYPERLINK("http://twitter.com","Twitter Web Client")</f>
        <v>Twitter Web Client</v>
      </c>
      <c r="L457" s="13">
        <v>4100</v>
      </c>
      <c r="M457" s="13">
        <v>4242</v>
      </c>
      <c r="N457" s="13">
        <v>39</v>
      </c>
      <c r="O457" s="15"/>
      <c r="P457" s="6">
        <v>40845.120509259257</v>
      </c>
      <c r="Q457" s="12"/>
      <c r="R457" s="18"/>
      <c r="S457" s="12"/>
      <c r="T457" s="12"/>
      <c r="U457" s="10" t="str">
        <f>HYPERLINK("https://pbs.twimg.com/profile_images/3576388686/a66d7c55b1a8af804079aea3e66d3f4f.jpeg","View")</f>
        <v>View</v>
      </c>
    </row>
    <row r="458" spans="1:21" ht="30.6">
      <c r="A458" s="6">
        <v>43426.404212962967</v>
      </c>
      <c r="B458" s="7" t="str">
        <f>HYPERLINK("https://twitter.com/eclementen","@eclementen")</f>
        <v>@eclementen</v>
      </c>
      <c r="C458" s="8" t="s">
        <v>1814</v>
      </c>
      <c r="D458" s="9" t="s">
        <v>1815</v>
      </c>
      <c r="E458" s="10" t="str">
        <f>HYPERLINK("https://twitter.com/eclementen/status/1065661705085161473","1065661705085161473")</f>
        <v>1065661705085161473</v>
      </c>
      <c r="F458" s="12"/>
      <c r="G458" s="11" t="s">
        <v>1816</v>
      </c>
      <c r="H458" s="12"/>
      <c r="I458" s="13">
        <v>0</v>
      </c>
      <c r="J458" s="13">
        <v>0</v>
      </c>
      <c r="K458" s="14" t="str">
        <f>HYPERLINK("http://twitter.com/download/iphone","Twitter for iPhone")</f>
        <v>Twitter for iPhone</v>
      </c>
      <c r="L458" s="13">
        <v>2201</v>
      </c>
      <c r="M458" s="13">
        <v>843</v>
      </c>
      <c r="N458" s="13">
        <v>68</v>
      </c>
      <c r="O458" s="15"/>
      <c r="P458" s="6">
        <v>40833.401261574072</v>
      </c>
      <c r="Q458" s="12"/>
      <c r="R458" s="16" t="s">
        <v>1817</v>
      </c>
      <c r="S458" s="12"/>
      <c r="T458" s="12"/>
      <c r="U458" s="10" t="str">
        <f>HYPERLINK("https://pbs.twimg.com/profile_images/1026496915016507394/PchQaO9K.jpg","View")</f>
        <v>View</v>
      </c>
    </row>
    <row r="459" spans="1:21" ht="30.6">
      <c r="A459" s="6">
        <v>43426.402569444443</v>
      </c>
      <c r="B459" s="7" t="str">
        <f>HYPERLINK("https://twitter.com/Leoconasombro","@Leoconasombro")</f>
        <v>@Leoconasombro</v>
      </c>
      <c r="C459" s="8" t="s">
        <v>1818</v>
      </c>
      <c r="D459" s="9" t="s">
        <v>1819</v>
      </c>
      <c r="E459" s="10" t="str">
        <f>HYPERLINK("https://twitter.com/Leoconasombro/status/1065661110727163911","1065661110727163911")</f>
        <v>1065661110727163911</v>
      </c>
      <c r="F459" s="12"/>
      <c r="G459" s="12"/>
      <c r="H459" s="12"/>
      <c r="I459" s="13">
        <v>0</v>
      </c>
      <c r="J459" s="13">
        <v>6</v>
      </c>
      <c r="K459" s="14" t="str">
        <f>HYPERLINK("http://twitter.com/download/android","Twitter for Android")</f>
        <v>Twitter for Android</v>
      </c>
      <c r="L459" s="13">
        <v>706</v>
      </c>
      <c r="M459" s="13">
        <v>907</v>
      </c>
      <c r="N459" s="13">
        <v>0</v>
      </c>
      <c r="O459" s="15"/>
      <c r="P459" s="6">
        <v>42080.766030092593</v>
      </c>
      <c r="Q459" s="17" t="s">
        <v>1820</v>
      </c>
      <c r="R459" s="16" t="s">
        <v>1821</v>
      </c>
      <c r="S459" s="12"/>
      <c r="T459" s="12"/>
      <c r="U459" s="10" t="str">
        <f>HYPERLINK("https://pbs.twimg.com/profile_images/1036622369845112833/pv9Lw9eI.jpg","View")</f>
        <v>View</v>
      </c>
    </row>
    <row r="460" spans="1:21" ht="40.799999999999997">
      <c r="A460" s="6">
        <v>43426.401388888888</v>
      </c>
      <c r="B460" s="7" t="str">
        <f>HYPERLINK("https://twitter.com/publico_es","@publico_es")</f>
        <v>@publico_es</v>
      </c>
      <c r="C460" s="8" t="s">
        <v>1822</v>
      </c>
      <c r="D460" s="9" t="s">
        <v>1823</v>
      </c>
      <c r="E460" s="10" t="str">
        <f>HYPERLINK("https://twitter.com/publico_es/status/1065660682664886273","1065660682664886273")</f>
        <v>1065660682664886273</v>
      </c>
      <c r="F460" s="11" t="s">
        <v>1492</v>
      </c>
      <c r="G460" s="12"/>
      <c r="H460" s="12"/>
      <c r="I460" s="13">
        <v>9</v>
      </c>
      <c r="J460" s="13">
        <v>7</v>
      </c>
      <c r="K460" s="14" t="str">
        <f>HYPERLINK("https://about.twitter.com/products/tweetdeck","TweetDeck")</f>
        <v>TweetDeck</v>
      </c>
      <c r="L460" s="13">
        <v>911012</v>
      </c>
      <c r="M460" s="13">
        <v>1455</v>
      </c>
      <c r="N460" s="13">
        <v>14824</v>
      </c>
      <c r="O460" s="19" t="s">
        <v>74</v>
      </c>
      <c r="P460" s="6">
        <v>39779.184525462959</v>
      </c>
      <c r="Q460" s="17" t="s">
        <v>203</v>
      </c>
      <c r="R460" s="16" t="s">
        <v>1824</v>
      </c>
      <c r="S460" s="11" t="s">
        <v>1825</v>
      </c>
      <c r="T460" s="12"/>
      <c r="U460" s="10" t="str">
        <f>HYPERLINK("https://pbs.twimg.com/profile_images/1048242435682422786/FdzZWHU8.jpg","View")</f>
        <v>View</v>
      </c>
    </row>
    <row r="461" spans="1:21" ht="30.6">
      <c r="A461" s="6">
        <v>43426.399629629625</v>
      </c>
      <c r="B461" s="7" t="str">
        <f>HYPERLINK("https://twitter.com/eldrapaire_","@eldrapaire_")</f>
        <v>@eldrapaire_</v>
      </c>
      <c r="C461" s="8" t="s">
        <v>1827</v>
      </c>
      <c r="D461" s="9" t="s">
        <v>1828</v>
      </c>
      <c r="E461" s="10" t="str">
        <f>HYPERLINK("https://twitter.com/eldrapaire_/status/1065660045986328576","1065660045986328576")</f>
        <v>1065660045986328576</v>
      </c>
      <c r="F461" s="12"/>
      <c r="G461" s="11" t="s">
        <v>1829</v>
      </c>
      <c r="H461" s="12"/>
      <c r="I461" s="13">
        <v>0</v>
      </c>
      <c r="J461" s="13">
        <v>0</v>
      </c>
      <c r="K461" s="14" t="str">
        <f>HYPERLINK("http://twitter.com","Twitter Web Client")</f>
        <v>Twitter Web Client</v>
      </c>
      <c r="L461" s="13">
        <v>1413</v>
      </c>
      <c r="M461" s="13">
        <v>1297</v>
      </c>
      <c r="N461" s="13">
        <v>8</v>
      </c>
      <c r="O461" s="15"/>
      <c r="P461" s="6">
        <v>41083.069756944446</v>
      </c>
      <c r="Q461" s="17" t="s">
        <v>208</v>
      </c>
      <c r="R461" s="16" t="s">
        <v>1830</v>
      </c>
      <c r="S461" s="12"/>
      <c r="T461" s="12"/>
      <c r="U461" s="10" t="str">
        <f>HYPERLINK("https://pbs.twimg.com/profile_images/993610696490438657/7ZVQxjrD.jpg","View")</f>
        <v>View</v>
      </c>
    </row>
    <row r="462" spans="1:21" ht="20.399999999999999">
      <c r="A462" s="6">
        <v>43426.398923611108</v>
      </c>
      <c r="B462" s="7" t="str">
        <f>HYPERLINK("https://twitter.com/pacodecorexpo","@pacodecorexpo")</f>
        <v>@pacodecorexpo</v>
      </c>
      <c r="C462" s="8" t="s">
        <v>1831</v>
      </c>
      <c r="D462" s="9" t="s">
        <v>1832</v>
      </c>
      <c r="E462" s="10" t="str">
        <f>HYPERLINK("https://twitter.com/pacodecorexpo/status/1065659791530487810","1065659791530487810")</f>
        <v>1065659791530487810</v>
      </c>
      <c r="F462" s="12"/>
      <c r="G462" s="11" t="s">
        <v>1833</v>
      </c>
      <c r="H462" s="12"/>
      <c r="I462" s="13">
        <v>0</v>
      </c>
      <c r="J462" s="13">
        <v>0</v>
      </c>
      <c r="K462" s="14" t="str">
        <f>HYPERLINK("http://twitter.com/download/android","Twitter for Android")</f>
        <v>Twitter for Android</v>
      </c>
      <c r="L462" s="13">
        <v>13</v>
      </c>
      <c r="M462" s="13">
        <v>46</v>
      </c>
      <c r="N462" s="13">
        <v>0</v>
      </c>
      <c r="O462" s="15"/>
      <c r="P462" s="6">
        <v>42903.141469907408</v>
      </c>
      <c r="Q462" s="12"/>
      <c r="R462" s="18"/>
      <c r="S462" s="12"/>
      <c r="T462" s="12"/>
      <c r="U462" s="19" t="s">
        <v>368</v>
      </c>
    </row>
    <row r="463" spans="1:21" ht="40.799999999999997">
      <c r="A463" s="6">
        <v>43426.398726851854</v>
      </c>
      <c r="B463" s="7" t="str">
        <f>HYPERLINK("https://twitter.com/nika_news_","@nika_news_")</f>
        <v>@nika_news_</v>
      </c>
      <c r="C463" s="8" t="s">
        <v>108</v>
      </c>
      <c r="D463" s="9" t="s">
        <v>109</v>
      </c>
      <c r="E463" s="10" t="str">
        <f>HYPERLINK("https://twitter.com/nika_news_/status/1065659716238565378","1065659716238565378")</f>
        <v>1065659716238565378</v>
      </c>
      <c r="F463" s="12"/>
      <c r="G463" s="11" t="s">
        <v>111</v>
      </c>
      <c r="H463" s="12"/>
      <c r="I463" s="13">
        <v>17</v>
      </c>
      <c r="J463" s="13">
        <v>15</v>
      </c>
      <c r="K463" s="14" t="str">
        <f>HYPERLINK("http://twitter.com","Twitter Web Client")</f>
        <v>Twitter Web Client</v>
      </c>
      <c r="L463" s="13">
        <v>10273</v>
      </c>
      <c r="M463" s="13">
        <v>7581</v>
      </c>
      <c r="N463" s="13">
        <v>81</v>
      </c>
      <c r="O463" s="15"/>
      <c r="P463" s="6">
        <v>40626.073229166665</v>
      </c>
      <c r="Q463" s="12"/>
      <c r="R463" s="16" t="s">
        <v>114</v>
      </c>
      <c r="S463" s="12"/>
      <c r="T463" s="12"/>
      <c r="U463" s="10" t="str">
        <f>HYPERLINK("https://pbs.twimg.com/profile_images/991132698713513984/qCVOUV-P.jpg","View")</f>
        <v>View</v>
      </c>
    </row>
    <row r="464" spans="1:21" ht="51">
      <c r="A464" s="6">
        <v>43426.397280092591</v>
      </c>
      <c r="B464" s="7" t="str">
        <f>HYPERLINK("https://twitter.com/LluisRovir","@LluisRovir")</f>
        <v>@LluisRovir</v>
      </c>
      <c r="C464" s="8" t="s">
        <v>1834</v>
      </c>
      <c r="D464" s="9" t="s">
        <v>1835</v>
      </c>
      <c r="E464" s="10" t="str">
        <f>HYPERLINK("https://twitter.com/LluisRovir/status/1065659194521645056","1065659194521645056")</f>
        <v>1065659194521645056</v>
      </c>
      <c r="F464" s="17" t="s">
        <v>720</v>
      </c>
      <c r="G464" s="12"/>
      <c r="H464" s="12"/>
      <c r="I464" s="13">
        <v>4</v>
      </c>
      <c r="J464" s="13">
        <v>8</v>
      </c>
      <c r="K464" s="14" t="str">
        <f>HYPERLINK("http://twitter.com/download/iphone","Twitter for iPhone")</f>
        <v>Twitter for iPhone</v>
      </c>
      <c r="L464" s="13">
        <v>3185</v>
      </c>
      <c r="M464" s="13">
        <v>3076</v>
      </c>
      <c r="N464" s="13">
        <v>51</v>
      </c>
      <c r="O464" s="15"/>
      <c r="P464" s="6">
        <v>41338.638865740737</v>
      </c>
      <c r="Q464" s="12"/>
      <c r="R464" s="16" t="s">
        <v>1836</v>
      </c>
      <c r="S464" s="12"/>
      <c r="T464" s="12"/>
      <c r="U464" s="10" t="str">
        <f>HYPERLINK("https://pbs.twimg.com/profile_images/587325139802525696/bBMXmg3a.jpg","View")</f>
        <v>View</v>
      </c>
    </row>
    <row r="465" spans="1:21" ht="51">
      <c r="A465" s="6">
        <v>43426.396909722222</v>
      </c>
      <c r="B465" s="7" t="str">
        <f>HYPERLINK("https://twitter.com/Chatarrastur","@Chatarrastur")</f>
        <v>@Chatarrastur</v>
      </c>
      <c r="C465" s="8" t="s">
        <v>1837</v>
      </c>
      <c r="D465" s="9" t="s">
        <v>1838</v>
      </c>
      <c r="E465" s="10" t="str">
        <f>HYPERLINK("https://twitter.com/Chatarrastur/status/1065659058638782464","1065659058638782464")</f>
        <v>1065659058638782464</v>
      </c>
      <c r="F465" s="11" t="s">
        <v>267</v>
      </c>
      <c r="G465" s="12"/>
      <c r="H465" s="12"/>
      <c r="I465" s="13">
        <v>0</v>
      </c>
      <c r="J465" s="13">
        <v>0</v>
      </c>
      <c r="K465" s="14" t="str">
        <f>HYPERLINK("http://twitter.com","Twitter Web Client")</f>
        <v>Twitter Web Client</v>
      </c>
      <c r="L465" s="13">
        <v>574</v>
      </c>
      <c r="M465" s="13">
        <v>558</v>
      </c>
      <c r="N465" s="13">
        <v>8</v>
      </c>
      <c r="O465" s="15"/>
      <c r="P465" s="6">
        <v>41251.201157407406</v>
      </c>
      <c r="Q465" s="12"/>
      <c r="R465" s="16" t="s">
        <v>1839</v>
      </c>
      <c r="S465" s="12"/>
      <c r="T465" s="12"/>
      <c r="U465" s="10" t="str">
        <f>HYPERLINK("https://pbs.twimg.com/profile_images/750008786027417600/giB71Qxj.jpg","View")</f>
        <v>View</v>
      </c>
    </row>
    <row r="466" spans="1:21" ht="40.799999999999997">
      <c r="A466" s="6">
        <v>43426.390694444446</v>
      </c>
      <c r="B466" s="7" t="str">
        <f>HYPERLINK("https://twitter.com/abcespana","@abcespana")</f>
        <v>@abcespana</v>
      </c>
      <c r="C466" s="8" t="s">
        <v>1840</v>
      </c>
      <c r="D466" s="9" t="s">
        <v>1841</v>
      </c>
      <c r="E466" s="10" t="str">
        <f>HYPERLINK("https://twitter.com/abcespana/status/1065656808726036480","1065656808726036480")</f>
        <v>1065656808726036480</v>
      </c>
      <c r="F466" s="11" t="s">
        <v>1842</v>
      </c>
      <c r="G466" s="12"/>
      <c r="H466" s="12"/>
      <c r="I466" s="13">
        <v>0</v>
      </c>
      <c r="J466" s="13">
        <v>0</v>
      </c>
      <c r="K466" s="14" t="str">
        <f>HYPERLINK("http://dogtrack.es","DogTrack_Oficial")</f>
        <v>DogTrack_Oficial</v>
      </c>
      <c r="L466" s="13">
        <v>12154</v>
      </c>
      <c r="M466" s="13">
        <v>199</v>
      </c>
      <c r="N466" s="13">
        <v>219</v>
      </c>
      <c r="O466" s="19" t="s">
        <v>74</v>
      </c>
      <c r="P466" s="6">
        <v>41820.1090625</v>
      </c>
      <c r="Q466" s="12"/>
      <c r="R466" s="16" t="s">
        <v>1843</v>
      </c>
      <c r="S466" s="11" t="s">
        <v>1844</v>
      </c>
      <c r="T466" s="12"/>
      <c r="U466" s="10" t="str">
        <f>HYPERLINK("https://pbs.twimg.com/profile_images/660003544939012096/foGuoVBZ.png","View")</f>
        <v>View</v>
      </c>
    </row>
    <row r="467" spans="1:21" ht="40.799999999999997">
      <c r="A467" s="6">
        <v>43426.390486111108</v>
      </c>
      <c r="B467" s="7" t="str">
        <f>HYPERLINK("https://twitter.com/Josegonsan","@Josegonsan")</f>
        <v>@Josegonsan</v>
      </c>
      <c r="C467" s="8" t="s">
        <v>198</v>
      </c>
      <c r="D467" s="9" t="s">
        <v>1845</v>
      </c>
      <c r="E467" s="10" t="str">
        <f>HYPERLINK("https://twitter.com/Josegonsan/status/1065656733962575873","1065656733962575873")</f>
        <v>1065656733962575873</v>
      </c>
      <c r="F467" s="12"/>
      <c r="G467" s="12"/>
      <c r="H467" s="12"/>
      <c r="I467" s="13">
        <v>0</v>
      </c>
      <c r="J467" s="13">
        <v>1</v>
      </c>
      <c r="K467" s="14" t="str">
        <f>HYPERLINK("http://twitter.com/download/android","Twitter for Android")</f>
        <v>Twitter for Android</v>
      </c>
      <c r="L467" s="13">
        <v>23</v>
      </c>
      <c r="M467" s="13">
        <v>117</v>
      </c>
      <c r="N467" s="13">
        <v>0</v>
      </c>
      <c r="O467" s="15"/>
      <c r="P467" s="6">
        <v>42171.228854166664</v>
      </c>
      <c r="Q467" s="17" t="s">
        <v>200</v>
      </c>
      <c r="R467" s="18"/>
      <c r="S467" s="12"/>
      <c r="T467" s="12"/>
      <c r="U467" s="10" t="str">
        <f>HYPERLINK("https://pbs.twimg.com/profile_images/613410644201721857/9uDgGBog.jpg","View")</f>
        <v>View</v>
      </c>
    </row>
    <row r="468" spans="1:21" ht="20.399999999999999">
      <c r="A468" s="6">
        <v>43426.387187500004</v>
      </c>
      <c r="B468" s="7" t="str">
        <f t="shared" ref="B468:B469" si="97">HYPERLINK("https://twitter.com/Rommel_Alarcon2","@Rommel_Alarcon2")</f>
        <v>@Rommel_Alarcon2</v>
      </c>
      <c r="C468" s="8" t="s">
        <v>1846</v>
      </c>
      <c r="D468" s="9" t="s">
        <v>1847</v>
      </c>
      <c r="E468" s="10" t="str">
        <f>HYPERLINK("https://twitter.com/Rommel_Alarcon2/status/1065655536497164288","1065655536497164288")</f>
        <v>1065655536497164288</v>
      </c>
      <c r="F468" s="11" t="s">
        <v>1618</v>
      </c>
      <c r="G468" s="12"/>
      <c r="H468" s="12"/>
      <c r="I468" s="13">
        <v>0</v>
      </c>
      <c r="J468" s="13">
        <v>0</v>
      </c>
      <c r="K468" s="14" t="str">
        <f t="shared" ref="K468:K469" si="98">HYPERLINK("https://www.google.com/","Google")</f>
        <v>Google</v>
      </c>
      <c r="L468" s="13">
        <v>1522</v>
      </c>
      <c r="M468" s="13">
        <v>2384</v>
      </c>
      <c r="N468" s="13">
        <v>4</v>
      </c>
      <c r="O468" s="15"/>
      <c r="P468" s="6">
        <v>42779.404942129629</v>
      </c>
      <c r="Q468" s="12"/>
      <c r="R468" s="16" t="s">
        <v>1848</v>
      </c>
      <c r="S468" s="12"/>
      <c r="T468" s="12"/>
      <c r="U468" s="10" t="str">
        <f t="shared" ref="U468:U469" si="99">HYPERLINK("https://pbs.twimg.com/profile_images/831199905825841152/vwQgtQzm.jpg","View")</f>
        <v>View</v>
      </c>
    </row>
    <row r="469" spans="1:21" ht="20.399999999999999">
      <c r="A469" s="6">
        <v>43426.387129629627</v>
      </c>
      <c r="B469" s="7" t="str">
        <f t="shared" si="97"/>
        <v>@Rommel_Alarcon2</v>
      </c>
      <c r="C469" s="8" t="s">
        <v>1846</v>
      </c>
      <c r="D469" s="9" t="s">
        <v>1849</v>
      </c>
      <c r="E469" s="10" t="str">
        <f>HYPERLINK("https://twitter.com/Rommel_Alarcon2/status/1065655516196675585","1065655516196675585")</f>
        <v>1065655516196675585</v>
      </c>
      <c r="F469" s="11" t="s">
        <v>1618</v>
      </c>
      <c r="G469" s="12"/>
      <c r="H469" s="12"/>
      <c r="I469" s="13">
        <v>0</v>
      </c>
      <c r="J469" s="13">
        <v>0</v>
      </c>
      <c r="K469" s="14" t="str">
        <f t="shared" si="98"/>
        <v>Google</v>
      </c>
      <c r="L469" s="13">
        <v>1522</v>
      </c>
      <c r="M469" s="13">
        <v>2384</v>
      </c>
      <c r="N469" s="13">
        <v>4</v>
      </c>
      <c r="O469" s="15"/>
      <c r="P469" s="6">
        <v>42779.404942129629</v>
      </c>
      <c r="Q469" s="12"/>
      <c r="R469" s="16" t="s">
        <v>1848</v>
      </c>
      <c r="S469" s="12"/>
      <c r="T469" s="12"/>
      <c r="U469" s="10" t="str">
        <f t="shared" si="99"/>
        <v>View</v>
      </c>
    </row>
    <row r="470" spans="1:21" ht="40.799999999999997">
      <c r="A470" s="6">
        <v>43426.384062500001</v>
      </c>
      <c r="B470" s="7" t="str">
        <f>HYPERLINK("https://twitter.com/Wertyalord1","@Wertyalord1")</f>
        <v>@Wertyalord1</v>
      </c>
      <c r="C470" s="8" t="s">
        <v>1456</v>
      </c>
      <c r="D470" s="9" t="s">
        <v>1457</v>
      </c>
      <c r="E470" s="10" t="str">
        <f>HYPERLINK("https://twitter.com/Wertyalord1/status/1065654403418529792","1065654403418529792")</f>
        <v>1065654403418529792</v>
      </c>
      <c r="F470" s="12"/>
      <c r="G470" s="11" t="s">
        <v>1458</v>
      </c>
      <c r="H470" s="12"/>
      <c r="I470" s="13">
        <v>35</v>
      </c>
      <c r="J470" s="13">
        <v>31</v>
      </c>
      <c r="K470" s="14" t="str">
        <f t="shared" ref="K470:K473" si="100">HYPERLINK("http://twitter.com","Twitter Web Client")</f>
        <v>Twitter Web Client</v>
      </c>
      <c r="L470" s="13">
        <v>4591</v>
      </c>
      <c r="M470" s="13">
        <v>3215</v>
      </c>
      <c r="N470" s="13">
        <v>102</v>
      </c>
      <c r="O470" s="15"/>
      <c r="P470" s="6">
        <v>41363.156180555554</v>
      </c>
      <c r="Q470" s="17" t="s">
        <v>1460</v>
      </c>
      <c r="R470" s="16" t="s">
        <v>1461</v>
      </c>
      <c r="S470" s="12"/>
      <c r="T470" s="12"/>
      <c r="U470" s="10" t="str">
        <f>HYPERLINK("https://pbs.twimg.com/profile_images/1003671021361205249/sAzGWgYk.jpg","View")</f>
        <v>View</v>
      </c>
    </row>
    <row r="471" spans="1:21" ht="40.799999999999997">
      <c r="A471" s="6">
        <v>43426.384027777778</v>
      </c>
      <c r="B471" s="7" t="str">
        <f>HYPERLINK("https://twitter.com/japtapias","@japtapias")</f>
        <v>@japtapias</v>
      </c>
      <c r="C471" s="8" t="s">
        <v>1854</v>
      </c>
      <c r="D471" s="9" t="s">
        <v>1855</v>
      </c>
      <c r="E471" s="10" t="str">
        <f>HYPERLINK("https://twitter.com/japtapias/status/1065654391292772353","1065654391292772353")</f>
        <v>1065654391292772353</v>
      </c>
      <c r="F471" s="11" t="s">
        <v>267</v>
      </c>
      <c r="G471" s="12"/>
      <c r="H471" s="12"/>
      <c r="I471" s="13">
        <v>867</v>
      </c>
      <c r="J471" s="13">
        <v>1031</v>
      </c>
      <c r="K471" s="14" t="str">
        <f t="shared" si="100"/>
        <v>Twitter Web Client</v>
      </c>
      <c r="L471" s="13">
        <v>63360</v>
      </c>
      <c r="M471" s="13">
        <v>11628</v>
      </c>
      <c r="N471" s="13">
        <v>787</v>
      </c>
      <c r="O471" s="15"/>
      <c r="P471" s="6">
        <v>40067.113680555558</v>
      </c>
      <c r="Q471" s="12"/>
      <c r="R471" s="16" t="s">
        <v>1856</v>
      </c>
      <c r="S471" s="12"/>
      <c r="T471" s="12"/>
      <c r="U471" s="10" t="str">
        <f>HYPERLINK("https://pbs.twimg.com/profile_images/1064565608724004864/mIwpskCF.jpg","View")</f>
        <v>View</v>
      </c>
    </row>
    <row r="472" spans="1:21" ht="30.6">
      <c r="A472" s="6">
        <v>43426.383020833338</v>
      </c>
      <c r="B472" s="7" t="str">
        <f>HYPERLINK("https://twitter.com/SALE550","@SALE550")</f>
        <v>@SALE550</v>
      </c>
      <c r="C472" s="8" t="s">
        <v>1857</v>
      </c>
      <c r="D472" s="9" t="s">
        <v>266</v>
      </c>
      <c r="E472" s="10" t="str">
        <f>HYPERLINK("https://twitter.com/SALE550/status/1065654025373302786","1065654025373302786")</f>
        <v>1065654025373302786</v>
      </c>
      <c r="F472" s="11" t="s">
        <v>267</v>
      </c>
      <c r="G472" s="12"/>
      <c r="H472" s="12"/>
      <c r="I472" s="13">
        <v>0</v>
      </c>
      <c r="J472" s="13">
        <v>0</v>
      </c>
      <c r="K472" s="14" t="str">
        <f t="shared" si="100"/>
        <v>Twitter Web Client</v>
      </c>
      <c r="L472" s="13">
        <v>88</v>
      </c>
      <c r="M472" s="13">
        <v>483</v>
      </c>
      <c r="N472" s="13">
        <v>3</v>
      </c>
      <c r="O472" s="15"/>
      <c r="P472" s="6">
        <v>40500.955335648148</v>
      </c>
      <c r="Q472" s="17" t="s">
        <v>1858</v>
      </c>
      <c r="R472" s="16" t="s">
        <v>1859</v>
      </c>
      <c r="S472" s="12"/>
      <c r="T472" s="12"/>
      <c r="U472" s="10" t="str">
        <f>HYPERLINK("https://pbs.twimg.com/profile_images/2292818647/678cuyarak43yyoyr9vu.jpeg","View")</f>
        <v>View</v>
      </c>
    </row>
    <row r="473" spans="1:21" ht="30.6">
      <c r="A473" s="6">
        <v>43426.381342592591</v>
      </c>
      <c r="B473" s="7" t="str">
        <f>HYPERLINK("https://twitter.com/asparuh7","@asparuh7")</f>
        <v>@asparuh7</v>
      </c>
      <c r="C473" s="8" t="s">
        <v>1860</v>
      </c>
      <c r="D473" s="9" t="s">
        <v>266</v>
      </c>
      <c r="E473" s="10" t="str">
        <f>HYPERLINK("https://twitter.com/asparuh7/status/1065653417501237249","1065653417501237249")</f>
        <v>1065653417501237249</v>
      </c>
      <c r="F473" s="11" t="s">
        <v>292</v>
      </c>
      <c r="G473" s="12"/>
      <c r="H473" s="12"/>
      <c r="I473" s="13">
        <v>0</v>
      </c>
      <c r="J473" s="13">
        <v>0</v>
      </c>
      <c r="K473" s="14" t="str">
        <f t="shared" si="100"/>
        <v>Twitter Web Client</v>
      </c>
      <c r="L473" s="13">
        <v>2358</v>
      </c>
      <c r="M473" s="13">
        <v>3446</v>
      </c>
      <c r="N473" s="13">
        <v>41</v>
      </c>
      <c r="O473" s="15"/>
      <c r="P473" s="6">
        <v>40515.16375</v>
      </c>
      <c r="Q473" s="17" t="s">
        <v>1862</v>
      </c>
      <c r="R473" s="16" t="s">
        <v>1863</v>
      </c>
      <c r="S473" s="12"/>
      <c r="T473" s="12"/>
      <c r="U473" s="10" t="str">
        <f>HYPERLINK("https://pbs.twimg.com/profile_images/2225217343/Snapshot_20111201_2.JPG","View")</f>
        <v>View</v>
      </c>
    </row>
    <row r="474" spans="1:21" ht="40.799999999999997">
      <c r="A474" s="6">
        <v>43426.378865740742</v>
      </c>
      <c r="B474" s="7" t="str">
        <f>HYPERLINK("https://twitter.com/menxucp","@menxucp")</f>
        <v>@menxucp</v>
      </c>
      <c r="C474" s="8" t="s">
        <v>1864</v>
      </c>
      <c r="D474" s="9" t="s">
        <v>1865</v>
      </c>
      <c r="E474" s="10" t="str">
        <f>HYPERLINK("https://twitter.com/menxucp/status/1065652520679284736","1065652520679284736")</f>
        <v>1065652520679284736</v>
      </c>
      <c r="F474" s="12"/>
      <c r="G474" s="12"/>
      <c r="H474" s="12"/>
      <c r="I474" s="13">
        <v>0</v>
      </c>
      <c r="J474" s="13">
        <v>1</v>
      </c>
      <c r="K474" s="14" t="str">
        <f>HYPERLINK("http://twitter.com/download/android","Twitter for Android")</f>
        <v>Twitter for Android</v>
      </c>
      <c r="L474" s="13">
        <v>357</v>
      </c>
      <c r="M474" s="13">
        <v>379</v>
      </c>
      <c r="N474" s="13">
        <v>40</v>
      </c>
      <c r="O474" s="15"/>
      <c r="P474" s="6">
        <v>40642.668055555558</v>
      </c>
      <c r="Q474" s="17" t="s">
        <v>1866</v>
      </c>
      <c r="R474" s="16" t="s">
        <v>1868</v>
      </c>
      <c r="S474" s="11" t="s">
        <v>1869</v>
      </c>
      <c r="T474" s="12"/>
      <c r="U474" s="10" t="str">
        <f>HYPERLINK("https://pbs.twimg.com/profile_images/920346853035700224/i17TzZLN.jpg","View")</f>
        <v>View</v>
      </c>
    </row>
    <row r="475" spans="1:21" ht="40.799999999999997">
      <c r="A475" s="6">
        <v>43426.377523148149</v>
      </c>
      <c r="B475" s="7" t="str">
        <f>HYPERLINK("https://twitter.com/juliogcs11","@juliogcs11")</f>
        <v>@juliogcs11</v>
      </c>
      <c r="C475" s="8" t="s">
        <v>1870</v>
      </c>
      <c r="D475" s="9" t="s">
        <v>1871</v>
      </c>
      <c r="E475" s="10" t="str">
        <f>HYPERLINK("https://twitter.com/juliogcs11/status/1065652032911089664","1065652032911089664")</f>
        <v>1065652032911089664</v>
      </c>
      <c r="F475" s="11" t="s">
        <v>1872</v>
      </c>
      <c r="G475" s="11" t="s">
        <v>1873</v>
      </c>
      <c r="H475" s="12"/>
      <c r="I475" s="13">
        <v>0</v>
      </c>
      <c r="J475" s="13">
        <v>1</v>
      </c>
      <c r="K475" s="14" t="str">
        <f>HYPERLINK("http://twitter.com","Twitter Web Client")</f>
        <v>Twitter Web Client</v>
      </c>
      <c r="L475" s="13">
        <v>38</v>
      </c>
      <c r="M475" s="13">
        <v>265</v>
      </c>
      <c r="N475" s="13">
        <v>0</v>
      </c>
      <c r="O475" s="15"/>
      <c r="P475" s="6">
        <v>42176.394189814819</v>
      </c>
      <c r="Q475" s="12"/>
      <c r="R475" s="18"/>
      <c r="S475" s="11" t="s">
        <v>1874</v>
      </c>
      <c r="T475" s="12"/>
      <c r="U475" s="10" t="str">
        <f>HYPERLINK("https://pbs.twimg.com/profile_images/613388208844443648/v7oRW9sm.jpg","View")</f>
        <v>View</v>
      </c>
    </row>
    <row r="476" spans="1:21" ht="40.799999999999997">
      <c r="A476" s="6">
        <v>43426.374421296292</v>
      </c>
      <c r="B476" s="7" t="str">
        <f>HYPERLINK("https://twitter.com/culebra1978","@culebra1978")</f>
        <v>@culebra1978</v>
      </c>
      <c r="C476" s="8" t="s">
        <v>1875</v>
      </c>
      <c r="D476" s="9" t="s">
        <v>1876</v>
      </c>
      <c r="E476" s="10" t="str">
        <f>HYPERLINK("https://twitter.com/culebra1978/status/1065650911232561152","1065650911232561152")</f>
        <v>1065650911232561152</v>
      </c>
      <c r="F476" s="12"/>
      <c r="G476" s="12"/>
      <c r="H476" s="12"/>
      <c r="I476" s="13">
        <v>36</v>
      </c>
      <c r="J476" s="13">
        <v>58</v>
      </c>
      <c r="K476" s="14" t="str">
        <f t="shared" ref="K476:K479" si="101">HYPERLINK("http://twitter.com/download/android","Twitter for Android")</f>
        <v>Twitter for Android</v>
      </c>
      <c r="L476" s="13">
        <v>6577</v>
      </c>
      <c r="M476" s="13">
        <v>5318</v>
      </c>
      <c r="N476" s="13">
        <v>9</v>
      </c>
      <c r="O476" s="15"/>
      <c r="P476" s="6">
        <v>41008.491574074076</v>
      </c>
      <c r="Q476" s="17" t="s">
        <v>1877</v>
      </c>
      <c r="R476" s="16" t="s">
        <v>1878</v>
      </c>
      <c r="S476" s="12"/>
      <c r="T476" s="12"/>
      <c r="U476" s="10" t="str">
        <f>HYPERLINK("https://pbs.twimg.com/profile_images/1042005741668900866/Z6LFT-O8.jpg","View")</f>
        <v>View</v>
      </c>
    </row>
    <row r="477" spans="1:21" ht="30.6">
      <c r="A477" s="6">
        <v>43426.370173611111</v>
      </c>
      <c r="B477" s="7" t="str">
        <f>HYPERLINK("https://twitter.com/elenaatoribio21","@elenaatoribio21")</f>
        <v>@elenaatoribio21</v>
      </c>
      <c r="C477" s="8" t="s">
        <v>1879</v>
      </c>
      <c r="D477" s="9" t="s">
        <v>1880</v>
      </c>
      <c r="E477" s="10" t="str">
        <f>HYPERLINK("https://twitter.com/elenaatoribio21/status/1065649369108684800","1065649369108684800")</f>
        <v>1065649369108684800</v>
      </c>
      <c r="F477" s="11" t="s">
        <v>1881</v>
      </c>
      <c r="G477" s="12"/>
      <c r="H477" s="12"/>
      <c r="I477" s="13">
        <v>0</v>
      </c>
      <c r="J477" s="13">
        <v>0</v>
      </c>
      <c r="K477" s="14" t="str">
        <f t="shared" si="101"/>
        <v>Twitter for Android</v>
      </c>
      <c r="L477" s="13">
        <v>93</v>
      </c>
      <c r="M477" s="13">
        <v>193</v>
      </c>
      <c r="N477" s="13">
        <v>0</v>
      </c>
      <c r="O477" s="15"/>
      <c r="P477" s="6">
        <v>43313.250532407408</v>
      </c>
      <c r="Q477" s="17" t="s">
        <v>1882</v>
      </c>
      <c r="R477" s="16" t="s">
        <v>1883</v>
      </c>
      <c r="S477" s="12"/>
      <c r="T477" s="12"/>
      <c r="U477" s="10" t="str">
        <f>HYPERLINK("https://pbs.twimg.com/profile_images/1055533154382069762/mZMehzMz.jpg","View")</f>
        <v>View</v>
      </c>
    </row>
    <row r="478" spans="1:21" ht="40.799999999999997">
      <c r="A478" s="6">
        <v>43426.369895833333</v>
      </c>
      <c r="B478" s="7" t="str">
        <f>HYPERLINK("https://twitter.com/cayeruby","@cayeruby")</f>
        <v>@cayeruby</v>
      </c>
      <c r="C478" s="8" t="s">
        <v>1884</v>
      </c>
      <c r="D478" s="9" t="s">
        <v>1885</v>
      </c>
      <c r="E478" s="10" t="str">
        <f>HYPERLINK("https://twitter.com/cayeruby/status/1065649271196798977","1065649271196798977")</f>
        <v>1065649271196798977</v>
      </c>
      <c r="F478" s="12"/>
      <c r="G478" s="12"/>
      <c r="H478" s="12"/>
      <c r="I478" s="13">
        <v>68</v>
      </c>
      <c r="J478" s="13">
        <v>157</v>
      </c>
      <c r="K478" s="14" t="str">
        <f t="shared" si="101"/>
        <v>Twitter for Android</v>
      </c>
      <c r="L478" s="13">
        <v>29565</v>
      </c>
      <c r="M478" s="13">
        <v>19563</v>
      </c>
      <c r="N478" s="13">
        <v>191</v>
      </c>
      <c r="O478" s="15"/>
      <c r="P478" s="6">
        <v>41315.750416666662</v>
      </c>
      <c r="Q478" s="17" t="s">
        <v>1886</v>
      </c>
      <c r="R478" s="16" t="s">
        <v>1887</v>
      </c>
      <c r="S478" s="12"/>
      <c r="T478" s="12"/>
      <c r="U478" s="10" t="str">
        <f>HYPERLINK("https://pbs.twimg.com/profile_images/1017740980752146432/Jrrw8PP1.jpg","View")</f>
        <v>View</v>
      </c>
    </row>
    <row r="479" spans="1:21" ht="51">
      <c r="A479" s="6">
        <v>43426.367418981477</v>
      </c>
      <c r="B479" s="7" t="str">
        <f>HYPERLINK("https://twitter.com/jorgedioni","@jorgedioni")</f>
        <v>@jorgedioni</v>
      </c>
      <c r="C479" s="8" t="s">
        <v>1888</v>
      </c>
      <c r="D479" s="9" t="s">
        <v>1889</v>
      </c>
      <c r="E479" s="10" t="str">
        <f>HYPERLINK("https://twitter.com/jorgedioni/status/1065648373372514305","1065648373372514305")</f>
        <v>1065648373372514305</v>
      </c>
      <c r="F479" s="17" t="s">
        <v>1890</v>
      </c>
      <c r="G479" s="12"/>
      <c r="H479" s="12"/>
      <c r="I479" s="13">
        <v>0</v>
      </c>
      <c r="J479" s="13">
        <v>2</v>
      </c>
      <c r="K479" s="14" t="str">
        <f t="shared" si="101"/>
        <v>Twitter for Android</v>
      </c>
      <c r="L479" s="13">
        <v>3047</v>
      </c>
      <c r="M479" s="13">
        <v>929</v>
      </c>
      <c r="N479" s="13">
        <v>45</v>
      </c>
      <c r="O479" s="15"/>
      <c r="P479" s="6">
        <v>40927.071481481486</v>
      </c>
      <c r="Q479" s="12"/>
      <c r="R479" s="16" t="s">
        <v>1891</v>
      </c>
      <c r="S479" s="11" t="s">
        <v>1892</v>
      </c>
      <c r="T479" s="12"/>
      <c r="U479" s="10" t="str">
        <f>HYPERLINK("https://pbs.twimg.com/profile_images/715840700332523521/yYJSCclH.jpg","View")</f>
        <v>View</v>
      </c>
    </row>
    <row r="480" spans="1:21" ht="30.6">
      <c r="A480" s="6">
        <v>43426.367002314815</v>
      </c>
      <c r="B480" s="7" t="str">
        <f>HYPERLINK("https://twitter.com/RalMarquez","@RalMarquez")</f>
        <v>@RalMarquez</v>
      </c>
      <c r="C480" s="8" t="s">
        <v>1893</v>
      </c>
      <c r="D480" s="9" t="s">
        <v>1894</v>
      </c>
      <c r="E480" s="10" t="str">
        <f>HYPERLINK("https://twitter.com/RalMarquez/status/1065648220817231874","1065648220817231874")</f>
        <v>1065648220817231874</v>
      </c>
      <c r="F480" s="12"/>
      <c r="G480" s="12"/>
      <c r="H480" s="12"/>
      <c r="I480" s="13">
        <v>0</v>
      </c>
      <c r="J480" s="13">
        <v>0</v>
      </c>
      <c r="K480" s="14" t="str">
        <f>HYPERLINK("http://twitter.com","Twitter Web Client")</f>
        <v>Twitter Web Client</v>
      </c>
      <c r="L480" s="13">
        <v>305</v>
      </c>
      <c r="M480" s="13">
        <v>93</v>
      </c>
      <c r="N480" s="13">
        <v>6</v>
      </c>
      <c r="O480" s="15"/>
      <c r="P480" s="6">
        <v>40351.066168981481</v>
      </c>
      <c r="Q480" s="17" t="s">
        <v>1895</v>
      </c>
      <c r="R480" s="16" t="s">
        <v>1896</v>
      </c>
      <c r="S480" s="11" t="s">
        <v>1897</v>
      </c>
      <c r="T480" s="12"/>
      <c r="U480" s="10" t="str">
        <f>HYPERLINK("https://pbs.twimg.com/profile_images/1057935885906427904/P5lT3HuK.jpg","View")</f>
        <v>View</v>
      </c>
    </row>
    <row r="481" spans="1:21" ht="40.799999999999997">
      <c r="A481" s="6">
        <v>43426.366168981476</v>
      </c>
      <c r="B481" s="7" t="str">
        <f>HYPERLINK("https://twitter.com/RafaAmo71","@RafaAmo71")</f>
        <v>@RafaAmo71</v>
      </c>
      <c r="C481" s="8" t="s">
        <v>1898</v>
      </c>
      <c r="D481" s="9" t="s">
        <v>1899</v>
      </c>
      <c r="E481" s="10" t="str">
        <f>HYPERLINK("https://twitter.com/RafaAmo71/status/1065647920647729152","1065647920647729152")</f>
        <v>1065647920647729152</v>
      </c>
      <c r="F481" s="11" t="s">
        <v>292</v>
      </c>
      <c r="G481" s="12"/>
      <c r="H481" s="12"/>
      <c r="I481" s="13">
        <v>0</v>
      </c>
      <c r="J481" s="13">
        <v>1</v>
      </c>
      <c r="K481" s="14" t="str">
        <f>HYPERLINK("http://twitter.com/download/iphone","Twitter for iPhone")</f>
        <v>Twitter for iPhone</v>
      </c>
      <c r="L481" s="13">
        <v>1086</v>
      </c>
      <c r="M481" s="13">
        <v>533</v>
      </c>
      <c r="N481" s="13">
        <v>18</v>
      </c>
      <c r="O481" s="15"/>
      <c r="P481" s="6">
        <v>40883.020601851851</v>
      </c>
      <c r="Q481" s="17" t="s">
        <v>1900</v>
      </c>
      <c r="R481" s="16" t="s">
        <v>1901</v>
      </c>
      <c r="S481" s="12"/>
      <c r="T481" s="12"/>
      <c r="U481" s="10" t="str">
        <f>HYPERLINK("https://pbs.twimg.com/profile_images/1061288414203596801/EgnUc4S8.jpg","View")</f>
        <v>View</v>
      </c>
    </row>
    <row r="482" spans="1:21" ht="40.799999999999997">
      <c r="A482" s="6">
        <v>43426.363344907411</v>
      </c>
      <c r="B482" s="7" t="str">
        <f>HYPERLINK("https://twitter.com/maximors45","@maximors45")</f>
        <v>@maximors45</v>
      </c>
      <c r="C482" s="8" t="s">
        <v>1097</v>
      </c>
      <c r="D482" s="9" t="s">
        <v>1902</v>
      </c>
      <c r="E482" s="10" t="str">
        <f>HYPERLINK("https://twitter.com/maximors45/status/1065646898294521856","1065646898294521856")</f>
        <v>1065646898294521856</v>
      </c>
      <c r="F482" s="11" t="s">
        <v>1418</v>
      </c>
      <c r="G482" s="12"/>
      <c r="H482" s="12"/>
      <c r="I482" s="13">
        <v>0</v>
      </c>
      <c r="J482" s="13">
        <v>0</v>
      </c>
      <c r="K482" s="14" t="str">
        <f t="shared" ref="K482:K484" si="102">HYPERLINK("http://twitter.com/download/android","Twitter for Android")</f>
        <v>Twitter for Android</v>
      </c>
      <c r="L482" s="13">
        <v>7321</v>
      </c>
      <c r="M482" s="13">
        <v>6287</v>
      </c>
      <c r="N482" s="13">
        <v>212</v>
      </c>
      <c r="O482" s="15"/>
      <c r="P482" s="6">
        <v>41713.44425925926</v>
      </c>
      <c r="Q482" s="17" t="s">
        <v>1100</v>
      </c>
      <c r="R482" s="16" t="s">
        <v>1101</v>
      </c>
      <c r="S482" s="12"/>
      <c r="T482" s="12"/>
      <c r="U482" s="10" t="str">
        <f>HYPERLINK("https://pbs.twimg.com/profile_images/1063386537101012998/36434Wof.jpg","View")</f>
        <v>View</v>
      </c>
    </row>
    <row r="483" spans="1:21" ht="20.399999999999999">
      <c r="A483" s="6">
        <v>43426.362303240741</v>
      </c>
      <c r="B483" s="7" t="str">
        <f>HYPERLINK("https://twitter.com/elexluma","@elexluma")</f>
        <v>@elexluma</v>
      </c>
      <c r="C483" s="8" t="s">
        <v>1907</v>
      </c>
      <c r="D483" s="9" t="s">
        <v>1908</v>
      </c>
      <c r="E483" s="10" t="str">
        <f>HYPERLINK("https://twitter.com/elexluma/status/1065646517158060040","1065646517158060040")</f>
        <v>1065646517158060040</v>
      </c>
      <c r="F483" s="12"/>
      <c r="G483" s="12"/>
      <c r="H483" s="12"/>
      <c r="I483" s="13">
        <v>1</v>
      </c>
      <c r="J483" s="13">
        <v>0</v>
      </c>
      <c r="K483" s="14" t="str">
        <f t="shared" si="102"/>
        <v>Twitter for Android</v>
      </c>
      <c r="L483" s="13">
        <v>1089</v>
      </c>
      <c r="M483" s="13">
        <v>1009</v>
      </c>
      <c r="N483" s="13">
        <v>4</v>
      </c>
      <c r="O483" s="15"/>
      <c r="P483" s="6">
        <v>42981.599259259259</v>
      </c>
      <c r="Q483" s="12"/>
      <c r="R483" s="16" t="s">
        <v>1909</v>
      </c>
      <c r="S483" s="12"/>
      <c r="T483" s="12"/>
      <c r="U483" s="10" t="str">
        <f>HYPERLINK("https://pbs.twimg.com/profile_images/959933982484807681/C8SDbwjf.jpg","View")</f>
        <v>View</v>
      </c>
    </row>
    <row r="484" spans="1:21" ht="20.399999999999999">
      <c r="A484" s="6">
        <v>43426.361203703702</v>
      </c>
      <c r="B484" s="7" t="str">
        <f>HYPERLINK("https://twitter.com/defender_rep","@defender_rep")</f>
        <v>@defender_rep</v>
      </c>
      <c r="C484" s="8" t="s">
        <v>1910</v>
      </c>
      <c r="D484" s="9" t="s">
        <v>1911</v>
      </c>
      <c r="E484" s="10" t="str">
        <f>HYPERLINK("https://twitter.com/defender_rep/status/1065646118988668929","1065646118988668929")</f>
        <v>1065646118988668929</v>
      </c>
      <c r="F484" s="11" t="s">
        <v>962</v>
      </c>
      <c r="G484" s="12"/>
      <c r="H484" s="12"/>
      <c r="I484" s="13">
        <v>0</v>
      </c>
      <c r="J484" s="13">
        <v>0</v>
      </c>
      <c r="K484" s="14" t="str">
        <f t="shared" si="102"/>
        <v>Twitter for Android</v>
      </c>
      <c r="L484" s="13">
        <v>541</v>
      </c>
      <c r="M484" s="13">
        <v>526</v>
      </c>
      <c r="N484" s="13">
        <v>1</v>
      </c>
      <c r="O484" s="15"/>
      <c r="P484" s="6">
        <v>43264.652048611111</v>
      </c>
      <c r="Q484" s="17" t="s">
        <v>1912</v>
      </c>
      <c r="R484" s="16" t="s">
        <v>1913</v>
      </c>
      <c r="S484" s="12"/>
      <c r="T484" s="12"/>
      <c r="U484" s="10" t="str">
        <f>HYPERLINK("https://pbs.twimg.com/profile_images/1007031334773182464/I9R7Dvty.jpg","View")</f>
        <v>View</v>
      </c>
    </row>
    <row r="485" spans="1:21" ht="30.6">
      <c r="A485" s="6">
        <v>43426.354016203702</v>
      </c>
      <c r="B485" s="7" t="str">
        <f>HYPERLINK("https://twitter.com/1enero59","@1enero59")</f>
        <v>@1enero59</v>
      </c>
      <c r="C485" s="8" t="s">
        <v>1914</v>
      </c>
      <c r="D485" s="9" t="s">
        <v>1915</v>
      </c>
      <c r="E485" s="10" t="str">
        <f>HYPERLINK("https://twitter.com/1enero59/status/1065643517702230017","1065643517702230017")</f>
        <v>1065643517702230017</v>
      </c>
      <c r="F485" s="11" t="s">
        <v>292</v>
      </c>
      <c r="G485" s="12"/>
      <c r="H485" s="12"/>
      <c r="I485" s="13">
        <v>0</v>
      </c>
      <c r="J485" s="13">
        <v>1</v>
      </c>
      <c r="K485" s="14" t="str">
        <f>HYPERLINK("http://twitter.com/download/iphone","Twitter for iPhone")</f>
        <v>Twitter for iPhone</v>
      </c>
      <c r="L485" s="13">
        <v>1218</v>
      </c>
      <c r="M485" s="13">
        <v>102</v>
      </c>
      <c r="N485" s="13">
        <v>29</v>
      </c>
      <c r="O485" s="15"/>
      <c r="P485" s="6">
        <v>40618.522673611107</v>
      </c>
      <c r="Q485" s="17" t="s">
        <v>1916</v>
      </c>
      <c r="R485" s="16" t="s">
        <v>1917</v>
      </c>
      <c r="S485" s="12"/>
      <c r="T485" s="12"/>
      <c r="U485" s="10" t="str">
        <f>HYPERLINK("https://pbs.twimg.com/profile_images/1055512230295490560/BNgjz7q7.jpg","View")</f>
        <v>View</v>
      </c>
    </row>
    <row r="486" spans="1:21" ht="13.2">
      <c r="A486" s="6">
        <v>43426.347824074073</v>
      </c>
      <c r="B486" s="7" t="str">
        <f>HYPERLINK("https://twitter.com/JESLUVETGUT","@JESLUVETGUT")</f>
        <v>@JESLUVETGUT</v>
      </c>
      <c r="C486" s="8" t="s">
        <v>1918</v>
      </c>
      <c r="D486" s="9" t="s">
        <v>1919</v>
      </c>
      <c r="E486" s="10" t="str">
        <f>HYPERLINK("https://twitter.com/JESLUVETGUT/status/1065641272084520960","1065641272084520960")</f>
        <v>1065641272084520960</v>
      </c>
      <c r="F486" s="11" t="s">
        <v>1920</v>
      </c>
      <c r="G486" s="12"/>
      <c r="H486" s="12"/>
      <c r="I486" s="13">
        <v>0</v>
      </c>
      <c r="J486" s="13">
        <v>0</v>
      </c>
      <c r="K486" s="14" t="str">
        <f>HYPERLINK("http://twitter.com","Twitter Web Client")</f>
        <v>Twitter Web Client</v>
      </c>
      <c r="L486" s="13">
        <v>201</v>
      </c>
      <c r="M486" s="13">
        <v>305</v>
      </c>
      <c r="N486" s="13">
        <v>7</v>
      </c>
      <c r="O486" s="15"/>
      <c r="P486" s="6">
        <v>40847.256006944444</v>
      </c>
      <c r="Q486" s="12"/>
      <c r="R486" s="18"/>
      <c r="S486" s="12"/>
      <c r="T486" s="12"/>
      <c r="U486" s="10" t="str">
        <f>HYPERLINK("https://pbs.twimg.com/profile_images/709511291484958720/560f3WS8.jpg","View")</f>
        <v>View</v>
      </c>
    </row>
    <row r="487" spans="1:21" ht="20.399999999999999">
      <c r="A487" s="6">
        <v>43426.343263888892</v>
      </c>
      <c r="B487" s="7" t="str">
        <f>HYPERLINK("https://twitter.com/Felitigreton","@Felitigreton")</f>
        <v>@Felitigreton</v>
      </c>
      <c r="C487" s="8" t="s">
        <v>1921</v>
      </c>
      <c r="D487" s="9" t="s">
        <v>1922</v>
      </c>
      <c r="E487" s="10" t="str">
        <f>HYPERLINK("https://twitter.com/Felitigreton/status/1065639618337562625","1065639618337562625")</f>
        <v>1065639618337562625</v>
      </c>
      <c r="F487" s="12"/>
      <c r="G487" s="12"/>
      <c r="H487" s="12"/>
      <c r="I487" s="13">
        <v>1</v>
      </c>
      <c r="J487" s="13">
        <v>0</v>
      </c>
      <c r="K487" s="14" t="str">
        <f>HYPERLINK("http://twitter.com/download/android","Twitter for Android")</f>
        <v>Twitter for Android</v>
      </c>
      <c r="L487" s="13">
        <v>7629</v>
      </c>
      <c r="M487" s="13">
        <v>6998</v>
      </c>
      <c r="N487" s="13">
        <v>35</v>
      </c>
      <c r="O487" s="15"/>
      <c r="P487" s="6">
        <v>42099.415196759262</v>
      </c>
      <c r="Q487" s="12"/>
      <c r="R487" s="16" t="s">
        <v>1923</v>
      </c>
      <c r="S487" s="12"/>
      <c r="T487" s="12"/>
      <c r="U487" s="10" t="str">
        <f>HYPERLINK("https://pbs.twimg.com/profile_images/947940683331063808/u2VI9kbD.jpg","View")</f>
        <v>View</v>
      </c>
    </row>
    <row r="488" spans="1:21" ht="40.799999999999997">
      <c r="A488" s="6">
        <v>43426.338078703702</v>
      </c>
      <c r="B488" s="7" t="str">
        <f>HYPERLINK("https://twitter.com/jzuazola","@jzuazola")</f>
        <v>@jzuazola</v>
      </c>
      <c r="C488" s="8" t="s">
        <v>1517</v>
      </c>
      <c r="D488" s="9" t="s">
        <v>1924</v>
      </c>
      <c r="E488" s="10" t="str">
        <f>HYPERLINK("https://twitter.com/jzuazola/status/1065637738257489921","1065637738257489921")</f>
        <v>1065637738257489921</v>
      </c>
      <c r="F488" s="11" t="s">
        <v>1925</v>
      </c>
      <c r="G488" s="12"/>
      <c r="H488" s="12"/>
      <c r="I488" s="13">
        <v>0</v>
      </c>
      <c r="J488" s="13">
        <v>0</v>
      </c>
      <c r="K488" s="14" t="str">
        <f>HYPERLINK("http://www.facebook.com/twitter","Facebook")</f>
        <v>Facebook</v>
      </c>
      <c r="L488" s="13">
        <v>1634</v>
      </c>
      <c r="M488" s="13">
        <v>4722</v>
      </c>
      <c r="N488" s="13">
        <v>124</v>
      </c>
      <c r="O488" s="15"/>
      <c r="P488" s="6">
        <v>39941.170381944445</v>
      </c>
      <c r="Q488" s="17" t="s">
        <v>1519</v>
      </c>
      <c r="R488" s="16" t="s">
        <v>1520</v>
      </c>
      <c r="S488" s="12"/>
      <c r="T488" s="12"/>
      <c r="U488" s="10" t="str">
        <f>HYPERLINK("https://pbs.twimg.com/profile_images/1392816248/jzuazola_profile_from_David_sin_ojeras.jpg","View")</f>
        <v>View</v>
      </c>
    </row>
    <row r="489" spans="1:21" ht="51">
      <c r="A489" s="6">
        <v>43426.337581018517</v>
      </c>
      <c r="B489" s="7" t="str">
        <f>HYPERLINK("https://twitter.com/FCASANOVAMP","@FCASANOVAMP")</f>
        <v>@FCASANOVAMP</v>
      </c>
      <c r="C489" s="8" t="s">
        <v>1522</v>
      </c>
      <c r="D489" s="9" t="s">
        <v>1926</v>
      </c>
      <c r="E489" s="10" t="str">
        <f>HYPERLINK("https://twitter.com/FCASANOVAMP/status/1065637561471778818","1065637561471778818")</f>
        <v>1065637561471778818</v>
      </c>
      <c r="F489" s="11" t="s">
        <v>1927</v>
      </c>
      <c r="G489" s="12"/>
      <c r="H489" s="12"/>
      <c r="I489" s="13">
        <v>0</v>
      </c>
      <c r="J489" s="13">
        <v>0</v>
      </c>
      <c r="K489" s="14" t="str">
        <f>HYPERLINK("http://twitter.com/download/iphone","Twitter for iPhone")</f>
        <v>Twitter for iPhone</v>
      </c>
      <c r="L489" s="13">
        <v>547</v>
      </c>
      <c r="M489" s="13">
        <v>994</v>
      </c>
      <c r="N489" s="13">
        <v>8</v>
      </c>
      <c r="O489" s="15"/>
      <c r="P489" s="6">
        <v>40851.125185185185</v>
      </c>
      <c r="Q489" s="17" t="s">
        <v>1526</v>
      </c>
      <c r="R489" s="16" t="s">
        <v>1527</v>
      </c>
      <c r="S489" s="12"/>
      <c r="T489" s="12"/>
      <c r="U489" s="10" t="str">
        <f>HYPERLINK("https://pbs.twimg.com/profile_images/506173861214552065/0X-ZRk8D.png","View")</f>
        <v>View</v>
      </c>
    </row>
    <row r="490" spans="1:21" ht="20.399999999999999">
      <c r="A490" s="6">
        <v>43426.336851851855</v>
      </c>
      <c r="B490" s="7" t="str">
        <f>HYPERLINK("https://twitter.com/elperiodicodigi","@elperiodicodigi")</f>
        <v>@elperiodicodigi</v>
      </c>
      <c r="C490" s="8" t="s">
        <v>1928</v>
      </c>
      <c r="D490" s="9" t="s">
        <v>1929</v>
      </c>
      <c r="E490" s="10" t="str">
        <f>HYPERLINK("https://twitter.com/elperiodicodigi/status/1065637293900222467","1065637293900222467")</f>
        <v>1065637293900222467</v>
      </c>
      <c r="F490" s="11" t="s">
        <v>1930</v>
      </c>
      <c r="G490" s="11" t="s">
        <v>1931</v>
      </c>
      <c r="H490" s="12"/>
      <c r="I490" s="13">
        <v>0</v>
      </c>
      <c r="J490" s="13">
        <v>0</v>
      </c>
      <c r="K490" s="14" t="str">
        <f>HYPERLINK("https://dlvrit.com/","dlvr.it")</f>
        <v>dlvr.it</v>
      </c>
      <c r="L490" s="13">
        <v>3</v>
      </c>
      <c r="M490" s="13">
        <v>44</v>
      </c>
      <c r="N490" s="13">
        <v>0</v>
      </c>
      <c r="O490" s="15"/>
      <c r="P490" s="6">
        <v>43333.184791666667</v>
      </c>
      <c r="Q490" s="17" t="s">
        <v>26</v>
      </c>
      <c r="R490" s="16" t="s">
        <v>1932</v>
      </c>
      <c r="S490" s="12"/>
      <c r="T490" s="12"/>
      <c r="U490" s="10" t="str">
        <f>HYPERLINK("https://pbs.twimg.com/profile_images/1031870273849577472/rQ3rguMh.jpg","View")</f>
        <v>View</v>
      </c>
    </row>
    <row r="491" spans="1:21" ht="13.2">
      <c r="A491" s="6">
        <v>43426.326550925922</v>
      </c>
      <c r="B491" s="7" t="str">
        <f>HYPERLINK("https://twitter.com/elisadocio","@elisadocio")</f>
        <v>@elisadocio</v>
      </c>
      <c r="C491" s="8" t="s">
        <v>1253</v>
      </c>
      <c r="D491" s="9" t="s">
        <v>1933</v>
      </c>
      <c r="E491" s="10" t="str">
        <f>HYPERLINK("https://twitter.com/elisadocio/status/1065633562467160064","1065633562467160064")</f>
        <v>1065633562467160064</v>
      </c>
      <c r="F491" s="11" t="s">
        <v>962</v>
      </c>
      <c r="G491" s="12"/>
      <c r="H491" s="12"/>
      <c r="I491" s="13">
        <v>0</v>
      </c>
      <c r="J491" s="13">
        <v>0</v>
      </c>
      <c r="K491" s="14" t="str">
        <f>HYPERLINK("http://www.facebook.com/twitter","Facebook")</f>
        <v>Facebook</v>
      </c>
      <c r="L491" s="13">
        <v>206</v>
      </c>
      <c r="M491" s="13">
        <v>359</v>
      </c>
      <c r="N491" s="13">
        <v>3</v>
      </c>
      <c r="O491" s="15"/>
      <c r="P491" s="6">
        <v>39808.611134259263</v>
      </c>
      <c r="Q491" s="17" t="s">
        <v>1254</v>
      </c>
      <c r="R491" s="18"/>
      <c r="S491" s="11" t="s">
        <v>1255</v>
      </c>
      <c r="T491" s="12"/>
      <c r="U491" s="10" t="str">
        <f>HYPERLINK("https://pbs.twimg.com/profile_images/106544839/pa310035_edited2.jpg","View")</f>
        <v>View</v>
      </c>
    </row>
    <row r="492" spans="1:21" ht="40.799999999999997">
      <c r="A492" s="6">
        <v>43426.318831018521</v>
      </c>
      <c r="B492" s="7" t="str">
        <f>HYPERLINK("https://twitter.com/carmoraga","@carmoraga")</f>
        <v>@carmoraga</v>
      </c>
      <c r="C492" s="8" t="s">
        <v>671</v>
      </c>
      <c r="D492" s="9" t="s">
        <v>1934</v>
      </c>
      <c r="E492" s="10" t="str">
        <f>HYPERLINK("https://twitter.com/carmoraga/status/1065630766523133952","1065630766523133952")</f>
        <v>1065630766523133952</v>
      </c>
      <c r="F492" s="11" t="s">
        <v>267</v>
      </c>
      <c r="G492" s="12"/>
      <c r="H492" s="12"/>
      <c r="I492" s="13">
        <v>0</v>
      </c>
      <c r="J492" s="13">
        <v>0</v>
      </c>
      <c r="K492" s="14" t="str">
        <f>HYPERLINK("http://twitter.com","Twitter Web Client")</f>
        <v>Twitter Web Client</v>
      </c>
      <c r="L492" s="13">
        <v>1703</v>
      </c>
      <c r="M492" s="13">
        <v>934</v>
      </c>
      <c r="N492" s="13">
        <v>62</v>
      </c>
      <c r="O492" s="15"/>
      <c r="P492" s="6">
        <v>40699.629999999997</v>
      </c>
      <c r="Q492" s="12"/>
      <c r="R492" s="16" t="s">
        <v>674</v>
      </c>
      <c r="S492" s="12"/>
      <c r="T492" s="12"/>
      <c r="U492" s="10" t="str">
        <f>HYPERLINK("https://pbs.twimg.com/profile_images/865339245678002177/0qFVUyHt.jpg","View")</f>
        <v>View</v>
      </c>
    </row>
    <row r="493" spans="1:21" ht="20.399999999999999">
      <c r="A493" s="6">
        <v>43426.317511574074</v>
      </c>
      <c r="B493" s="7" t="str">
        <f>HYPERLINK("https://twitter.com/rosira_rosi","@rosira_rosi")</f>
        <v>@rosira_rosi</v>
      </c>
      <c r="C493" s="8" t="s">
        <v>1935</v>
      </c>
      <c r="D493" s="9" t="s">
        <v>1328</v>
      </c>
      <c r="E493" s="10" t="str">
        <f>HYPERLINK("https://twitter.com/rosira_rosi/status/1065630285298049025","1065630285298049025")</f>
        <v>1065630285298049025</v>
      </c>
      <c r="F493" s="11" t="s">
        <v>1927</v>
      </c>
      <c r="G493" s="12"/>
      <c r="H493" s="12"/>
      <c r="I493" s="13">
        <v>0</v>
      </c>
      <c r="J493" s="13">
        <v>0</v>
      </c>
      <c r="K493" s="14" t="str">
        <f>HYPERLINK("http://twitter.com/download/iphone","Twitter for iPhone")</f>
        <v>Twitter for iPhone</v>
      </c>
      <c r="L493" s="13">
        <v>7092</v>
      </c>
      <c r="M493" s="13">
        <v>7603</v>
      </c>
      <c r="N493" s="13">
        <v>101</v>
      </c>
      <c r="O493" s="15"/>
      <c r="P493" s="6">
        <v>41959.662627314814</v>
      </c>
      <c r="Q493" s="17" t="s">
        <v>26</v>
      </c>
      <c r="R493" s="18"/>
      <c r="S493" s="12"/>
      <c r="T493" s="12"/>
      <c r="U493" s="10" t="str">
        <f>HYPERLINK("https://pbs.twimg.com/profile_images/555449985941389312/emNF1nmb.jpeg","View")</f>
        <v>View</v>
      </c>
    </row>
    <row r="494" spans="1:21" ht="30.6">
      <c r="A494" s="6">
        <v>43426.31722222222</v>
      </c>
      <c r="B494" s="7" t="str">
        <f>HYPERLINK("https://twitter.com/jescud2000","@jescud2000")</f>
        <v>@jescud2000</v>
      </c>
      <c r="C494" s="8" t="s">
        <v>1936</v>
      </c>
      <c r="D494" s="9" t="s">
        <v>1937</v>
      </c>
      <c r="E494" s="10" t="str">
        <f>HYPERLINK("https://twitter.com/jescud2000/status/1065630182130806784","1065630182130806784")</f>
        <v>1065630182130806784</v>
      </c>
      <c r="F494" s="11" t="s">
        <v>267</v>
      </c>
      <c r="G494" s="12"/>
      <c r="H494" s="12"/>
      <c r="I494" s="13">
        <v>0</v>
      </c>
      <c r="J494" s="13">
        <v>0</v>
      </c>
      <c r="K494" s="14" t="str">
        <f>HYPERLINK("http://twitter.com","Twitter Web Client")</f>
        <v>Twitter Web Client</v>
      </c>
      <c r="L494" s="13">
        <v>148</v>
      </c>
      <c r="M494" s="13">
        <v>583</v>
      </c>
      <c r="N494" s="13">
        <v>4</v>
      </c>
      <c r="O494" s="15"/>
      <c r="P494" s="6">
        <v>40287.492800925924</v>
      </c>
      <c r="Q494" s="17" t="s">
        <v>1938</v>
      </c>
      <c r="R494" s="18"/>
      <c r="S494" s="12"/>
      <c r="T494" s="12"/>
      <c r="U494" s="10" t="str">
        <f>HYPERLINK("https://pbs.twimg.com/profile_images/1060566584991928320/3DNRxKqd.jpg","View")</f>
        <v>View</v>
      </c>
    </row>
    <row r="495" spans="1:21" ht="40.799999999999997">
      <c r="A495" s="6">
        <v>43426.31627314815</v>
      </c>
      <c r="B495" s="7" t="str">
        <f>HYPERLINK("https://twitter.com/VicentVG","@VicentVG")</f>
        <v>@VicentVG</v>
      </c>
      <c r="C495" s="8" t="s">
        <v>1939</v>
      </c>
      <c r="D495" s="9" t="s">
        <v>1940</v>
      </c>
      <c r="E495" s="10" t="str">
        <f>HYPERLINK("https://twitter.com/VicentVG/status/1065629838910922753","1065629838910922753")</f>
        <v>1065629838910922753</v>
      </c>
      <c r="F495" s="11" t="s">
        <v>1941</v>
      </c>
      <c r="G495" s="12"/>
      <c r="H495" s="12"/>
      <c r="I495" s="13">
        <v>1</v>
      </c>
      <c r="J495" s="13">
        <v>0</v>
      </c>
      <c r="K495" s="14" t="str">
        <f>HYPERLINK("http://www.facebook.com/twitter","Facebook")</f>
        <v>Facebook</v>
      </c>
      <c r="L495" s="13">
        <v>3089</v>
      </c>
      <c r="M495" s="13">
        <v>3246</v>
      </c>
      <c r="N495" s="13">
        <v>75</v>
      </c>
      <c r="O495" s="15"/>
      <c r="P495" s="6">
        <v>40546.415405092594</v>
      </c>
      <c r="Q495" s="17" t="s">
        <v>179</v>
      </c>
      <c r="R495" s="16" t="s">
        <v>1942</v>
      </c>
      <c r="S495" s="11" t="s">
        <v>1943</v>
      </c>
      <c r="T495" s="12"/>
      <c r="U495" s="10" t="str">
        <f>HYPERLINK("https://pbs.twimg.com/profile_images/1026851693009494022/gUXZtQzB.jpg","View")</f>
        <v>View</v>
      </c>
    </row>
    <row r="496" spans="1:21" ht="20.399999999999999">
      <c r="A496" s="6">
        <v>43426.314467592594</v>
      </c>
      <c r="B496" s="7" t="str">
        <f>HYPERLINK("https://twitter.com/antoniobokeron2","@antoniobokeron2")</f>
        <v>@antoniobokeron2</v>
      </c>
      <c r="C496" s="8" t="s">
        <v>1944</v>
      </c>
      <c r="D496" s="9" t="s">
        <v>1945</v>
      </c>
      <c r="E496" s="10" t="str">
        <f>HYPERLINK("https://twitter.com/antoniobokeron2/status/1065629182573592578","1065629182573592578")</f>
        <v>1065629182573592578</v>
      </c>
      <c r="F496" s="11" t="s">
        <v>962</v>
      </c>
      <c r="G496" s="12"/>
      <c r="H496" s="12"/>
      <c r="I496" s="13">
        <v>0</v>
      </c>
      <c r="J496" s="13">
        <v>1</v>
      </c>
      <c r="K496" s="14" t="str">
        <f>HYPERLINK("http://twitter.com/download/android","Twitter for Android")</f>
        <v>Twitter for Android</v>
      </c>
      <c r="L496" s="13">
        <v>816</v>
      </c>
      <c r="M496" s="13">
        <v>1199</v>
      </c>
      <c r="N496" s="13">
        <v>13</v>
      </c>
      <c r="O496" s="15"/>
      <c r="P496" s="6">
        <v>42283.32</v>
      </c>
      <c r="Q496" s="12"/>
      <c r="R496" s="16" t="s">
        <v>1946</v>
      </c>
      <c r="S496" s="12"/>
      <c r="T496" s="12"/>
      <c r="U496" s="10" t="str">
        <f>HYPERLINK("https://pbs.twimg.com/profile_images/784503971876630528/wEzGBiVc.jpg","View")</f>
        <v>View</v>
      </c>
    </row>
    <row r="497" spans="1:21" ht="40.799999999999997">
      <c r="A497" s="6">
        <v>43426.312569444446</v>
      </c>
      <c r="B497" s="7" t="str">
        <f>HYPERLINK("https://twitter.com/el_pais","@el_pais")</f>
        <v>@el_pais</v>
      </c>
      <c r="C497" s="8" t="s">
        <v>1947</v>
      </c>
      <c r="D497" s="9" t="s">
        <v>1948</v>
      </c>
      <c r="E497" s="10" t="str">
        <f>HYPERLINK("https://twitter.com/el_pais/status/1065628494057615360","1065628494057615360")</f>
        <v>1065628494057615360</v>
      </c>
      <c r="F497" s="11" t="s">
        <v>1949</v>
      </c>
      <c r="G497" s="12"/>
      <c r="H497" s="12"/>
      <c r="I497" s="13">
        <v>15</v>
      </c>
      <c r="J497" s="13">
        <v>19</v>
      </c>
      <c r="K497" s="14" t="str">
        <f>HYPERLINK("https://www.hootsuite.com","Hootsuite Inc.")</f>
        <v>Hootsuite Inc.</v>
      </c>
      <c r="L497" s="13">
        <v>6718571</v>
      </c>
      <c r="M497" s="13">
        <v>777</v>
      </c>
      <c r="N497" s="13">
        <v>55930</v>
      </c>
      <c r="O497" s="19" t="s">
        <v>74</v>
      </c>
      <c r="P497" s="6">
        <v>39300.38899305556</v>
      </c>
      <c r="Q497" s="17" t="s">
        <v>76</v>
      </c>
      <c r="R497" s="16" t="s">
        <v>1950</v>
      </c>
      <c r="S497" s="11" t="s">
        <v>1951</v>
      </c>
      <c r="T497" s="12"/>
      <c r="U497" s="10" t="str">
        <f>HYPERLINK("https://pbs.twimg.com/profile_images/815456059322036224/o_RQNEOh.jpg","View")</f>
        <v>View</v>
      </c>
    </row>
    <row r="498" spans="1:21" ht="91.8">
      <c r="A498" s="6">
        <v>43426.308321759258</v>
      </c>
      <c r="B498" s="7" t="str">
        <f>HYPERLINK("https://twitter.com/amicalupus","@amicalupus")</f>
        <v>@amicalupus</v>
      </c>
      <c r="C498" s="8" t="s">
        <v>1952</v>
      </c>
      <c r="D498" s="9" t="s">
        <v>1953</v>
      </c>
      <c r="E498" s="10" t="str">
        <f>HYPERLINK("https://twitter.com/amicalupus/status/1065626956358696961","1065626956358696961")</f>
        <v>1065626956358696961</v>
      </c>
      <c r="F498" s="11" t="s">
        <v>1954</v>
      </c>
      <c r="G498" s="12"/>
      <c r="H498" s="12"/>
      <c r="I498" s="13">
        <v>0</v>
      </c>
      <c r="J498" s="13">
        <v>0</v>
      </c>
      <c r="K498" s="14" t="str">
        <f>HYPERLINK("http://twitter.com","Twitter Web Client")</f>
        <v>Twitter Web Client</v>
      </c>
      <c r="L498" s="13">
        <v>1083</v>
      </c>
      <c r="M498" s="13">
        <v>838</v>
      </c>
      <c r="N498" s="13">
        <v>164</v>
      </c>
      <c r="O498" s="15"/>
      <c r="P498" s="6">
        <v>41309.670266203706</v>
      </c>
      <c r="Q498" s="17" t="s">
        <v>29</v>
      </c>
      <c r="R498" s="16" t="s">
        <v>1955</v>
      </c>
      <c r="S498" s="12"/>
      <c r="T498" s="12"/>
      <c r="U498" s="10" t="str">
        <f>HYPERLINK("https://pbs.twimg.com/profile_images/1061276996607664128/38oPIhLq.jpg","View")</f>
        <v>View</v>
      </c>
    </row>
    <row r="499" spans="1:21" ht="20.399999999999999">
      <c r="A499" s="6">
        <v>43426.307604166665</v>
      </c>
      <c r="B499" s="7" t="str">
        <f>HYPERLINK("https://twitter.com/sleepers_0","@sleepers_0")</f>
        <v>@sleepers_0</v>
      </c>
      <c r="C499" s="8" t="s">
        <v>1956</v>
      </c>
      <c r="D499" s="9" t="s">
        <v>1957</v>
      </c>
      <c r="E499" s="10" t="str">
        <f>HYPERLINK("https://twitter.com/sleepers_0/status/1065626695951163394","1065626695951163394")</f>
        <v>1065626695951163394</v>
      </c>
      <c r="F499" s="11" t="s">
        <v>1418</v>
      </c>
      <c r="G499" s="12"/>
      <c r="H499" s="12"/>
      <c r="I499" s="13">
        <v>0</v>
      </c>
      <c r="J499" s="13">
        <v>0</v>
      </c>
      <c r="K499" s="14" t="str">
        <f>HYPERLINK("http://twitter.com/download/android","Twitter for Android")</f>
        <v>Twitter for Android</v>
      </c>
      <c r="L499" s="13">
        <v>487</v>
      </c>
      <c r="M499" s="13">
        <v>501</v>
      </c>
      <c r="N499" s="13">
        <v>4</v>
      </c>
      <c r="O499" s="15"/>
      <c r="P499" s="6">
        <v>41826.205416666664</v>
      </c>
      <c r="Q499" s="12"/>
      <c r="R499" s="18"/>
      <c r="S499" s="12"/>
      <c r="T499" s="12"/>
      <c r="U499" s="10" t="str">
        <f>HYPERLINK("https://pbs.twimg.com/profile_images/562000920494739457/t_VeZJTN.jpeg","View")</f>
        <v>View</v>
      </c>
    </row>
    <row r="500" spans="1:21" ht="40.799999999999997">
      <c r="A500" s="6">
        <v>43426.302777777775</v>
      </c>
      <c r="B500" s="7" t="str">
        <f>HYPERLINK("https://twitter.com/elnacionalcat_e","@elnacionalcat_e")</f>
        <v>@elnacionalcat_e</v>
      </c>
      <c r="C500" s="8" t="s">
        <v>776</v>
      </c>
      <c r="D500" s="9" t="s">
        <v>1185</v>
      </c>
      <c r="E500" s="10" t="str">
        <f>HYPERLINK("https://twitter.com/elnacionalcat_e/status/1065624946955628547","1065624946955628547")</f>
        <v>1065624946955628547</v>
      </c>
      <c r="F500" s="11" t="s">
        <v>1186</v>
      </c>
      <c r="G500" s="12"/>
      <c r="H500" s="12"/>
      <c r="I500" s="13">
        <v>0</v>
      </c>
      <c r="J500" s="13">
        <v>0</v>
      </c>
      <c r="K500" s="14" t="str">
        <f>HYPERLINK("https://about.twitter.com/products/tweetdeck","TweetDeck")</f>
        <v>TweetDeck</v>
      </c>
      <c r="L500" s="13">
        <v>5489</v>
      </c>
      <c r="M500" s="13">
        <v>355</v>
      </c>
      <c r="N500" s="13">
        <v>167</v>
      </c>
      <c r="O500" s="15"/>
      <c r="P500" s="6">
        <v>42247.465567129635</v>
      </c>
      <c r="Q500" s="17" t="s">
        <v>638</v>
      </c>
      <c r="R500" s="16" t="s">
        <v>778</v>
      </c>
      <c r="S500" s="11" t="s">
        <v>779</v>
      </c>
      <c r="T500" s="12"/>
      <c r="U500" s="10" t="str">
        <f>HYPERLINK("https://pbs.twimg.com/profile_images/646298514385960960/VEutSP7L.png","View")</f>
        <v>View</v>
      </c>
    </row>
    <row r="501" spans="1:21" ht="61.2">
      <c r="A501" s="6">
        <v>43426.302361111113</v>
      </c>
      <c r="B501" s="7" t="str">
        <f>HYPERLINK("https://twitter.com/AndreSiso11","@AndreSiso11")</f>
        <v>@AndreSiso11</v>
      </c>
      <c r="C501" s="8" t="s">
        <v>1958</v>
      </c>
      <c r="D501" s="9" t="s">
        <v>1959</v>
      </c>
      <c r="E501" s="10" t="str">
        <f>HYPERLINK("https://twitter.com/AndreSiso11/status/1065624795814010880","1065624795814010880")</f>
        <v>1065624795814010880</v>
      </c>
      <c r="F501" s="17" t="s">
        <v>1960</v>
      </c>
      <c r="G501" s="12"/>
      <c r="H501" s="12"/>
      <c r="I501" s="13">
        <v>1</v>
      </c>
      <c r="J501" s="13">
        <v>3</v>
      </c>
      <c r="K501" s="14" t="str">
        <f t="shared" ref="K501:K502" si="103">HYPERLINK("http://twitter.com","Twitter Web Client")</f>
        <v>Twitter Web Client</v>
      </c>
      <c r="L501" s="13">
        <v>85</v>
      </c>
      <c r="M501" s="13">
        <v>308</v>
      </c>
      <c r="N501" s="13">
        <v>0</v>
      </c>
      <c r="O501" s="15"/>
      <c r="P501" s="6">
        <v>43258.6722337963</v>
      </c>
      <c r="Q501" s="17" t="s">
        <v>1961</v>
      </c>
      <c r="R501" s="16" t="s">
        <v>1962</v>
      </c>
      <c r="S501" s="11" t="s">
        <v>1963</v>
      </c>
      <c r="T501" s="12"/>
      <c r="U501" s="10" t="str">
        <f>HYPERLINK("https://pbs.twimg.com/profile_images/1063051035986612226/B9vn0lGF.jpg","View")</f>
        <v>View</v>
      </c>
    </row>
    <row r="502" spans="1:21" ht="40.799999999999997">
      <c r="A502" s="6">
        <v>43426.297199074077</v>
      </c>
      <c r="B502" s="7" t="str">
        <f>HYPERLINK("https://twitter.com/BegotxuBoo","@BegotxuBoo")</f>
        <v>@BegotxuBoo</v>
      </c>
      <c r="C502" s="8" t="s">
        <v>1964</v>
      </c>
      <c r="D502" s="9" t="s">
        <v>1965</v>
      </c>
      <c r="E502" s="10" t="str">
        <f>HYPERLINK("https://twitter.com/BegotxuBoo/status/1065622925989109762","1065622925989109762")</f>
        <v>1065622925989109762</v>
      </c>
      <c r="F502" s="12"/>
      <c r="G502" s="12"/>
      <c r="H502" s="12"/>
      <c r="I502" s="13">
        <v>4</v>
      </c>
      <c r="J502" s="13">
        <v>12</v>
      </c>
      <c r="K502" s="14" t="str">
        <f t="shared" si="103"/>
        <v>Twitter Web Client</v>
      </c>
      <c r="L502" s="13">
        <v>13446</v>
      </c>
      <c r="M502" s="13">
        <v>626</v>
      </c>
      <c r="N502" s="13">
        <v>153</v>
      </c>
      <c r="O502" s="15"/>
      <c r="P502" s="6">
        <v>41150.160833333335</v>
      </c>
      <c r="Q502" s="12"/>
      <c r="R502" s="16" t="s">
        <v>1966</v>
      </c>
      <c r="S502" s="12"/>
      <c r="T502" s="12"/>
      <c r="U502" s="10" t="str">
        <f>HYPERLINK("https://pbs.twimg.com/profile_images/534266200818483200/_78fiChL.jpeg","View")</f>
        <v>View</v>
      </c>
    </row>
    <row r="503" spans="1:21" ht="20.399999999999999">
      <c r="A503" s="6">
        <v>43426.296851851846</v>
      </c>
      <c r="B503" s="7" t="str">
        <f>HYPERLINK("https://twitter.com/FetoViejo","@FetoViejo")</f>
        <v>@FetoViejo</v>
      </c>
      <c r="C503" s="8" t="s">
        <v>1967</v>
      </c>
      <c r="D503" s="9" t="s">
        <v>1968</v>
      </c>
      <c r="E503" s="10" t="str">
        <f>HYPERLINK("https://twitter.com/FetoViejo/status/1065622800696778752","1065622800696778752")</f>
        <v>1065622800696778752</v>
      </c>
      <c r="F503" s="11" t="s">
        <v>1969</v>
      </c>
      <c r="G503" s="12"/>
      <c r="H503" s="12"/>
      <c r="I503" s="13">
        <v>1</v>
      </c>
      <c r="J503" s="13">
        <v>6</v>
      </c>
      <c r="K503" s="14" t="str">
        <f>HYPERLINK("http://twitter.com/download/android","Twitter for Android")</f>
        <v>Twitter for Android</v>
      </c>
      <c r="L503" s="13">
        <v>2587</v>
      </c>
      <c r="M503" s="13">
        <v>385</v>
      </c>
      <c r="N503" s="13">
        <v>64</v>
      </c>
      <c r="O503" s="15"/>
      <c r="P503" s="6">
        <v>41493.610902777778</v>
      </c>
      <c r="Q503" s="17" t="s">
        <v>1970</v>
      </c>
      <c r="R503" s="16" t="s">
        <v>1971</v>
      </c>
      <c r="S503" s="12"/>
      <c r="T503" s="12"/>
      <c r="U503" s="10" t="str">
        <f>HYPERLINK("https://pbs.twimg.com/profile_images/846713262511198208/h2nhQndJ.jpg","View")</f>
        <v>View</v>
      </c>
    </row>
    <row r="504" spans="1:21" ht="20.399999999999999">
      <c r="A504" s="6">
        <v>43426.295740740738</v>
      </c>
      <c r="B504" s="7" t="str">
        <f>HYPERLINK("https://twitter.com/jmmjouroboros","@jmmjouroboros")</f>
        <v>@jmmjouroboros</v>
      </c>
      <c r="C504" s="8" t="s">
        <v>1972</v>
      </c>
      <c r="D504" s="9" t="s">
        <v>1328</v>
      </c>
      <c r="E504" s="10" t="str">
        <f>HYPERLINK("https://twitter.com/jmmjouroboros/status/1065622397364121601","1065622397364121601")</f>
        <v>1065622397364121601</v>
      </c>
      <c r="F504" s="11" t="s">
        <v>962</v>
      </c>
      <c r="G504" s="12"/>
      <c r="H504" s="12"/>
      <c r="I504" s="13">
        <v>0</v>
      </c>
      <c r="J504" s="13">
        <v>0</v>
      </c>
      <c r="K504" s="14" t="str">
        <f>HYPERLINK("http://www.facebook.com/twitter","Facebook")</f>
        <v>Facebook</v>
      </c>
      <c r="L504" s="13">
        <v>56</v>
      </c>
      <c r="M504" s="13">
        <v>248</v>
      </c>
      <c r="N504" s="13">
        <v>2</v>
      </c>
      <c r="O504" s="15"/>
      <c r="P504" s="6">
        <v>40238.607511574075</v>
      </c>
      <c r="Q504" s="12"/>
      <c r="R504" s="18"/>
      <c r="S504" s="12"/>
      <c r="T504" s="12"/>
      <c r="U504" s="10" t="str">
        <f>HYPERLINK("https://pbs.twimg.com/profile_images/2471715344/37y9mvcsup5gwuh8677m.jpeg","View")</f>
        <v>View</v>
      </c>
    </row>
    <row r="505" spans="1:21" ht="40.799999999999997">
      <c r="A505" s="6">
        <v>43426.292037037041</v>
      </c>
      <c r="B505" s="7" t="str">
        <f>HYPERLINK("https://twitter.com/elpais_espana","@elpais_espana")</f>
        <v>@elpais_espana</v>
      </c>
      <c r="C505" s="8" t="s">
        <v>1973</v>
      </c>
      <c r="D505" s="9" t="s">
        <v>1974</v>
      </c>
      <c r="E505" s="10" t="str">
        <f>HYPERLINK("https://twitter.com/elpais_espana/status/1065621055409201155","1065621055409201155")</f>
        <v>1065621055409201155</v>
      </c>
      <c r="F505" s="11" t="s">
        <v>1975</v>
      </c>
      <c r="G505" s="12"/>
      <c r="H505" s="12"/>
      <c r="I505" s="13">
        <v>1</v>
      </c>
      <c r="J505" s="13">
        <v>2</v>
      </c>
      <c r="K505" s="14" t="str">
        <f>HYPERLINK("https://www.hootsuite.com","Hootsuite Inc.")</f>
        <v>Hootsuite Inc.</v>
      </c>
      <c r="L505" s="13">
        <v>402652</v>
      </c>
      <c r="M505" s="13">
        <v>799</v>
      </c>
      <c r="N505" s="13">
        <v>6325</v>
      </c>
      <c r="O505" s="19" t="s">
        <v>74</v>
      </c>
      <c r="P505" s="6">
        <v>40245.413946759261</v>
      </c>
      <c r="Q505" s="17" t="s">
        <v>76</v>
      </c>
      <c r="R505" s="16" t="s">
        <v>1976</v>
      </c>
      <c r="S505" s="11" t="s">
        <v>1977</v>
      </c>
      <c r="T505" s="12"/>
      <c r="U505" s="10" t="str">
        <f>HYPERLINK("https://pbs.twimg.com/profile_images/917337394914955264/aoU6Bl-8.jpg","View")</f>
        <v>View</v>
      </c>
    </row>
    <row r="506" spans="1:21" ht="30.6">
      <c r="A506" s="6">
        <v>43426.290243055555</v>
      </c>
      <c r="B506" s="7" t="str">
        <f>HYPERLINK("https://twitter.com/sergiovalienteb","@sergiovalienteb")</f>
        <v>@sergiovalienteb</v>
      </c>
      <c r="C506" s="8" t="s">
        <v>1978</v>
      </c>
      <c r="D506" s="9" t="s">
        <v>266</v>
      </c>
      <c r="E506" s="10" t="str">
        <f>HYPERLINK("https://twitter.com/sergiovalienteb/status/1065620407028465664","1065620407028465664")</f>
        <v>1065620407028465664</v>
      </c>
      <c r="F506" s="11" t="s">
        <v>292</v>
      </c>
      <c r="G506" s="12"/>
      <c r="H506" s="12"/>
      <c r="I506" s="13">
        <v>0</v>
      </c>
      <c r="J506" s="13">
        <v>0</v>
      </c>
      <c r="K506" s="14" t="str">
        <f>HYPERLINK("http://twitter.com/download/android","Twitter for Android")</f>
        <v>Twitter for Android</v>
      </c>
      <c r="L506" s="13">
        <v>73</v>
      </c>
      <c r="M506" s="13">
        <v>60</v>
      </c>
      <c r="N506" s="13">
        <v>3</v>
      </c>
      <c r="O506" s="15"/>
      <c r="P506" s="6">
        <v>41272.377106481479</v>
      </c>
      <c r="Q506" s="17" t="s">
        <v>1796</v>
      </c>
      <c r="R506" s="16" t="s">
        <v>1980</v>
      </c>
      <c r="S506" s="12"/>
      <c r="T506" s="12"/>
      <c r="U506" s="10" t="str">
        <f>HYPERLINK("https://pbs.twimg.com/profile_images/639493392393744384/PVCZcHhZ.jpg","View")</f>
        <v>View</v>
      </c>
    </row>
    <row r="507" spans="1:21" ht="13.2">
      <c r="A507" s="6">
        <v>43426.288564814815</v>
      </c>
      <c r="B507" s="7" t="str">
        <f>HYPERLINK("https://twitter.com/antesdedesembar","@antesdedesembar")</f>
        <v>@antesdedesembar</v>
      </c>
      <c r="C507" s="8" t="s">
        <v>1981</v>
      </c>
      <c r="D507" s="9" t="s">
        <v>1982</v>
      </c>
      <c r="E507" s="10" t="str">
        <f>HYPERLINK("https://twitter.com/antesdedesembar/status/1065619795184369665","1065619795184369665")</f>
        <v>1065619795184369665</v>
      </c>
      <c r="F507" s="11" t="s">
        <v>962</v>
      </c>
      <c r="G507" s="12"/>
      <c r="H507" s="12"/>
      <c r="I507" s="13">
        <v>0</v>
      </c>
      <c r="J507" s="13">
        <v>0</v>
      </c>
      <c r="K507" s="14" t="str">
        <f>HYPERLINK("http://www.facebook.com/twitter","Facebook")</f>
        <v>Facebook</v>
      </c>
      <c r="L507" s="13">
        <v>2736</v>
      </c>
      <c r="M507" s="13">
        <v>2420</v>
      </c>
      <c r="N507" s="13">
        <v>16</v>
      </c>
      <c r="O507" s="15"/>
      <c r="P507" s="6">
        <v>40650.326192129629</v>
      </c>
      <c r="Q507" s="17" t="s">
        <v>1983</v>
      </c>
      <c r="R507" s="18"/>
      <c r="S507" s="11" t="s">
        <v>1984</v>
      </c>
      <c r="T507" s="12"/>
      <c r="U507" s="10" t="str">
        <f>HYPERLINK("https://pbs.twimg.com/profile_images/678960549737209856/a2IrYzIH.jpg","View")</f>
        <v>View</v>
      </c>
    </row>
    <row r="508" spans="1:21" ht="40.799999999999997">
      <c r="A508" s="6">
        <v>43426.286296296297</v>
      </c>
      <c r="B508" s="7" t="str">
        <f>HYPERLINK("https://twitter.com/marialozano777","@marialozano777")</f>
        <v>@marialozano777</v>
      </c>
      <c r="C508" s="8" t="s">
        <v>1584</v>
      </c>
      <c r="D508" s="9" t="s">
        <v>1585</v>
      </c>
      <c r="E508" s="10" t="str">
        <f>HYPERLINK("https://twitter.com/marialozano777/status/1065618976036790273","1065618976036790273")</f>
        <v>1065618976036790273</v>
      </c>
      <c r="F508" s="11" t="s">
        <v>1116</v>
      </c>
      <c r="G508" s="12"/>
      <c r="H508" s="12"/>
      <c r="I508" s="13">
        <v>24</v>
      </c>
      <c r="J508" s="13">
        <v>15</v>
      </c>
      <c r="K508" s="14" t="str">
        <f>HYPERLINK("http://twitter.com/download/iphone","Twitter for iPhone")</f>
        <v>Twitter for iPhone</v>
      </c>
      <c r="L508" s="13">
        <v>10970</v>
      </c>
      <c r="M508" s="13">
        <v>4427</v>
      </c>
      <c r="N508" s="13">
        <v>97</v>
      </c>
      <c r="O508" s="15"/>
      <c r="P508" s="6">
        <v>41293.539780092593</v>
      </c>
      <c r="Q508" s="17" t="s">
        <v>1588</v>
      </c>
      <c r="R508" s="16" t="s">
        <v>1589</v>
      </c>
      <c r="S508" s="12"/>
      <c r="T508" s="12"/>
      <c r="U508" s="10" t="str">
        <f>HYPERLINK("https://pbs.twimg.com/profile_images/1035169474763280389/vMPWS32M.jpg","View")</f>
        <v>View</v>
      </c>
    </row>
    <row r="509" spans="1:21" ht="20.399999999999999">
      <c r="A509" s="6">
        <v>43426.285833333328</v>
      </c>
      <c r="B509" s="7" t="str">
        <f>HYPERLINK("https://twitter.com/VIBEFAMILY","@VIBEFAMILY")</f>
        <v>@VIBEFAMILY</v>
      </c>
      <c r="C509" s="8" t="s">
        <v>165</v>
      </c>
      <c r="D509" s="9" t="s">
        <v>697</v>
      </c>
      <c r="E509" s="10" t="str">
        <f>HYPERLINK("https://twitter.com/VIBEFAMILY/status/1065618807450939393","1065618807450939393")</f>
        <v>1065618807450939393</v>
      </c>
      <c r="F509" s="11" t="s">
        <v>955</v>
      </c>
      <c r="G509" s="12"/>
      <c r="H509" s="12"/>
      <c r="I509" s="13">
        <v>0</v>
      </c>
      <c r="J509" s="13">
        <v>0</v>
      </c>
      <c r="K509" s="14" t="str">
        <f t="shared" ref="K509:K510" si="104">HYPERLINK("http://www.facebook.com/twitter","Facebook")</f>
        <v>Facebook</v>
      </c>
      <c r="L509" s="13">
        <v>215</v>
      </c>
      <c r="M509" s="13">
        <v>224</v>
      </c>
      <c r="N509" s="13">
        <v>3</v>
      </c>
      <c r="O509" s="15"/>
      <c r="P509" s="6">
        <v>40254.623391203706</v>
      </c>
      <c r="Q509" s="17" t="s">
        <v>167</v>
      </c>
      <c r="R509" s="16" t="s">
        <v>168</v>
      </c>
      <c r="S509" s="11" t="s">
        <v>169</v>
      </c>
      <c r="T509" s="12"/>
      <c r="U509" s="10" t="str">
        <f>HYPERLINK("https://pbs.twimg.com/profile_images/978033432109469696/TtXZ5RSM.jpg","View")</f>
        <v>View</v>
      </c>
    </row>
    <row r="510" spans="1:21" ht="13.2">
      <c r="A510" s="6">
        <v>43426.284259259264</v>
      </c>
      <c r="B510" s="7" t="str">
        <f>HYPERLINK("https://twitter.com/porrillas2","@porrillas2")</f>
        <v>@porrillas2</v>
      </c>
      <c r="C510" s="8" t="s">
        <v>1985</v>
      </c>
      <c r="D510" s="9" t="s">
        <v>1986</v>
      </c>
      <c r="E510" s="10" t="str">
        <f>HYPERLINK("https://twitter.com/porrillas2/status/1065618235431809026","1065618235431809026")</f>
        <v>1065618235431809026</v>
      </c>
      <c r="F510" s="11" t="s">
        <v>1987</v>
      </c>
      <c r="G510" s="12"/>
      <c r="H510" s="12"/>
      <c r="I510" s="13">
        <v>0</v>
      </c>
      <c r="J510" s="13">
        <v>0</v>
      </c>
      <c r="K510" s="14" t="str">
        <f t="shared" si="104"/>
        <v>Facebook</v>
      </c>
      <c r="L510" s="13">
        <v>297</v>
      </c>
      <c r="M510" s="13">
        <v>750</v>
      </c>
      <c r="N510" s="13">
        <v>0</v>
      </c>
      <c r="O510" s="15"/>
      <c r="P510" s="6">
        <v>40558.61546296296</v>
      </c>
      <c r="Q510" s="17" t="s">
        <v>1988</v>
      </c>
      <c r="R510" s="18"/>
      <c r="S510" s="12"/>
      <c r="T510" s="12"/>
      <c r="U510" s="10" t="str">
        <f>HYPERLINK("https://pbs.twimg.com/profile_images/842143476582088705/AfgspXHq.jpg","View")</f>
        <v>View</v>
      </c>
    </row>
    <row r="511" spans="1:21" ht="20.399999999999999">
      <c r="A511" s="6">
        <v>43426.283067129625</v>
      </c>
      <c r="B511" s="7" t="str">
        <f>HYPERLINK("https://twitter.com/Xiqui9","@Xiqui9")</f>
        <v>@Xiqui9</v>
      </c>
      <c r="C511" s="8" t="s">
        <v>1989</v>
      </c>
      <c r="D511" s="9" t="s">
        <v>1990</v>
      </c>
      <c r="E511" s="10" t="str">
        <f>HYPERLINK("https://twitter.com/Xiqui9/status/1065617803607228417","1065617803607228417")</f>
        <v>1065617803607228417</v>
      </c>
      <c r="F511" s="12"/>
      <c r="G511" s="11" t="s">
        <v>1991</v>
      </c>
      <c r="H511" s="12"/>
      <c r="I511" s="13">
        <v>6</v>
      </c>
      <c r="J511" s="13">
        <v>12</v>
      </c>
      <c r="K511" s="14" t="str">
        <f>HYPERLINK("https://mobile.twitter.com","Twitter Lite")</f>
        <v>Twitter Lite</v>
      </c>
      <c r="L511" s="13">
        <v>51</v>
      </c>
      <c r="M511" s="13">
        <v>146</v>
      </c>
      <c r="N511" s="13">
        <v>0</v>
      </c>
      <c r="O511" s="15"/>
      <c r="P511" s="6">
        <v>42902.348252314812</v>
      </c>
      <c r="Q511" s="17" t="s">
        <v>167</v>
      </c>
      <c r="R511" s="16" t="s">
        <v>1992</v>
      </c>
      <c r="S511" s="12"/>
      <c r="T511" s="12"/>
      <c r="U511" s="10" t="str">
        <f>HYPERLINK("https://pbs.twimg.com/profile_images/1053273972769517568/2v2DjBUC.jpg","View")</f>
        <v>View</v>
      </c>
    </row>
    <row r="512" spans="1:21" ht="30.6">
      <c r="A512" s="6">
        <v>43426.277696759258</v>
      </c>
      <c r="B512" s="7" t="str">
        <f>HYPERLINK("https://twitter.com/Mencita64","@Mencita64")</f>
        <v>@Mencita64</v>
      </c>
      <c r="C512" s="8" t="s">
        <v>1994</v>
      </c>
      <c r="D512" s="9" t="s">
        <v>266</v>
      </c>
      <c r="E512" s="10" t="str">
        <f>HYPERLINK("https://twitter.com/Mencita64/status/1065615859253690368","1065615859253690368")</f>
        <v>1065615859253690368</v>
      </c>
      <c r="F512" s="11" t="s">
        <v>267</v>
      </c>
      <c r="G512" s="12"/>
      <c r="H512" s="12"/>
      <c r="I512" s="13">
        <v>0</v>
      </c>
      <c r="J512" s="13">
        <v>0</v>
      </c>
      <c r="K512" s="14" t="str">
        <f t="shared" ref="K512:K516" si="105">HYPERLINK("http://twitter.com","Twitter Web Client")</f>
        <v>Twitter Web Client</v>
      </c>
      <c r="L512" s="13">
        <v>152</v>
      </c>
      <c r="M512" s="13">
        <v>288</v>
      </c>
      <c r="N512" s="13">
        <v>0</v>
      </c>
      <c r="O512" s="15"/>
      <c r="P512" s="6">
        <v>40587.272777777776</v>
      </c>
      <c r="Q512" s="17" t="s">
        <v>29</v>
      </c>
      <c r="R512" s="16" t="s">
        <v>1995</v>
      </c>
      <c r="S512" s="12"/>
      <c r="T512" s="12"/>
      <c r="U512" s="10" t="str">
        <f>HYPERLINK("https://pbs.twimg.com/profile_images/1059551058354204672/z9Z7X4Xn.jpg","View")</f>
        <v>View</v>
      </c>
    </row>
    <row r="513" spans="1:21" ht="30.6">
      <c r="A513" s="6">
        <v>43426.272534722222</v>
      </c>
      <c r="B513" s="7" t="str">
        <f>HYPERLINK("https://twitter.com/Anita_Thomsen_","@Anita_Thomsen_")</f>
        <v>@Anita_Thomsen_</v>
      </c>
      <c r="C513" s="8" t="s">
        <v>1637</v>
      </c>
      <c r="D513" s="9" t="s">
        <v>266</v>
      </c>
      <c r="E513" s="10" t="str">
        <f>HYPERLINK("https://twitter.com/Anita_Thomsen_/status/1065613987134480384","1065613987134480384")</f>
        <v>1065613987134480384</v>
      </c>
      <c r="F513" s="11" t="s">
        <v>267</v>
      </c>
      <c r="G513" s="12"/>
      <c r="H513" s="12"/>
      <c r="I513" s="13">
        <v>1</v>
      </c>
      <c r="J513" s="13">
        <v>0</v>
      </c>
      <c r="K513" s="14" t="str">
        <f t="shared" si="105"/>
        <v>Twitter Web Client</v>
      </c>
      <c r="L513" s="13">
        <v>1073</v>
      </c>
      <c r="M513" s="13">
        <v>2124</v>
      </c>
      <c r="N513" s="13">
        <v>49</v>
      </c>
      <c r="O513" s="15"/>
      <c r="P513" s="6">
        <v>40680.464131944442</v>
      </c>
      <c r="Q513" s="17" t="s">
        <v>805</v>
      </c>
      <c r="R513" s="18"/>
      <c r="S513" s="11" t="s">
        <v>1638</v>
      </c>
      <c r="T513" s="12"/>
      <c r="U513" s="10" t="str">
        <f>HYPERLINK("https://pbs.twimg.com/profile_images/1359534321/9-2-2011.JPG","View")</f>
        <v>View</v>
      </c>
    </row>
    <row r="514" spans="1:21" ht="30.6">
      <c r="A514" s="6">
        <v>43426.271354166667</v>
      </c>
      <c r="B514" s="7" t="str">
        <f>HYPERLINK("https://twitter.com/ElHuffPost","@ElHuffPost")</f>
        <v>@ElHuffPost</v>
      </c>
      <c r="C514" s="8" t="s">
        <v>467</v>
      </c>
      <c r="D514" s="9" t="s">
        <v>468</v>
      </c>
      <c r="E514" s="10" t="str">
        <f>HYPERLINK("https://twitter.com/ElHuffPost/status/1065613560510853120","1065613560510853120")</f>
        <v>1065613560510853120</v>
      </c>
      <c r="F514" s="11" t="s">
        <v>469</v>
      </c>
      <c r="G514" s="11" t="s">
        <v>1996</v>
      </c>
      <c r="H514" s="12"/>
      <c r="I514" s="13">
        <v>2</v>
      </c>
      <c r="J514" s="13">
        <v>3</v>
      </c>
      <c r="K514" s="14" t="str">
        <f t="shared" si="105"/>
        <v>Twitter Web Client</v>
      </c>
      <c r="L514" s="13">
        <v>430323</v>
      </c>
      <c r="M514" s="13">
        <v>1532</v>
      </c>
      <c r="N514" s="13">
        <v>8186</v>
      </c>
      <c r="O514" s="19" t="s">
        <v>74</v>
      </c>
      <c r="P514" s="6">
        <v>40784.652118055557</v>
      </c>
      <c r="Q514" s="17" t="s">
        <v>203</v>
      </c>
      <c r="R514" s="16" t="s">
        <v>471</v>
      </c>
      <c r="S514" s="11" t="s">
        <v>472</v>
      </c>
      <c r="T514" s="12"/>
      <c r="U514" s="10" t="str">
        <f>HYPERLINK("https://pbs.twimg.com/profile_images/921140803422089217/ETOEUOAx.jpg","View")</f>
        <v>View</v>
      </c>
    </row>
    <row r="515" spans="1:21" ht="51">
      <c r="A515" s="6">
        <v>43426.268101851849</v>
      </c>
      <c r="B515" s="7" t="str">
        <f>HYPERLINK("https://twitter.com/BlaancaNiieves","@BlaancaNiieves")</f>
        <v>@BlaancaNiieves</v>
      </c>
      <c r="C515" s="8" t="s">
        <v>49</v>
      </c>
      <c r="D515" s="9" t="s">
        <v>1612</v>
      </c>
      <c r="E515" s="10" t="str">
        <f>HYPERLINK("https://twitter.com/BlaancaNiieves/status/1065612380103688192","1065612380103688192")</f>
        <v>1065612380103688192</v>
      </c>
      <c r="F515" s="11" t="s">
        <v>1615</v>
      </c>
      <c r="G515" s="12"/>
      <c r="H515" s="12"/>
      <c r="I515" s="13">
        <v>2</v>
      </c>
      <c r="J515" s="13">
        <v>0</v>
      </c>
      <c r="K515" s="14" t="str">
        <f t="shared" si="105"/>
        <v>Twitter Web Client</v>
      </c>
      <c r="L515" s="13">
        <v>12765</v>
      </c>
      <c r="M515" s="13">
        <v>7062</v>
      </c>
      <c r="N515" s="13">
        <v>180</v>
      </c>
      <c r="O515" s="15"/>
      <c r="P515" s="6">
        <v>40831.098078703704</v>
      </c>
      <c r="Q515" s="17" t="s">
        <v>29</v>
      </c>
      <c r="R515" s="16" t="s">
        <v>53</v>
      </c>
      <c r="S515" s="12"/>
      <c r="T515" s="12"/>
      <c r="U515" s="10" t="str">
        <f>HYPERLINK("https://pbs.twimg.com/profile_images/2470680169/wsbnexryuc29zw10olvt.jpeg","View")</f>
        <v>View</v>
      </c>
    </row>
    <row r="516" spans="1:21" ht="30.6">
      <c r="A516" s="6">
        <v>43426.263460648144</v>
      </c>
      <c r="B516" s="7" t="str">
        <f>HYPERLINK("https://twitter.com/riduran_p","@riduran_p")</f>
        <v>@riduran_p</v>
      </c>
      <c r="C516" s="8" t="s">
        <v>941</v>
      </c>
      <c r="D516" s="9" t="s">
        <v>1997</v>
      </c>
      <c r="E516" s="10" t="str">
        <f>HYPERLINK("https://twitter.com/riduran_p/status/1065610699836145664","1065610699836145664")</f>
        <v>1065610699836145664</v>
      </c>
      <c r="F516" s="11" t="s">
        <v>1998</v>
      </c>
      <c r="G516" s="12"/>
      <c r="H516" s="12"/>
      <c r="I516" s="13">
        <v>1</v>
      </c>
      <c r="J516" s="13">
        <v>2</v>
      </c>
      <c r="K516" s="14" t="str">
        <f t="shared" si="105"/>
        <v>Twitter Web Client</v>
      </c>
      <c r="L516" s="13">
        <v>8432</v>
      </c>
      <c r="M516" s="13">
        <v>7344</v>
      </c>
      <c r="N516" s="13">
        <v>22</v>
      </c>
      <c r="O516" s="15"/>
      <c r="P516" s="6">
        <v>40678.219918981486</v>
      </c>
      <c r="Q516" s="17" t="s">
        <v>902</v>
      </c>
      <c r="R516" s="16" t="s">
        <v>948</v>
      </c>
      <c r="S516" s="11" t="s">
        <v>949</v>
      </c>
      <c r="T516" s="12"/>
      <c r="U516" s="10" t="str">
        <f>HYPERLINK("https://pbs.twimg.com/profile_images/972822677244272640/23HaWXad.jpg","View")</f>
        <v>View</v>
      </c>
    </row>
    <row r="517" spans="1:21" ht="40.799999999999997">
      <c r="A517" s="6">
        <v>43426.263437500005</v>
      </c>
      <c r="B517" s="7" t="str">
        <f>HYPERLINK("https://twitter.com/mbort07","@mbort07")</f>
        <v>@mbort07</v>
      </c>
      <c r="C517" s="8" t="s">
        <v>1999</v>
      </c>
      <c r="D517" s="9" t="s">
        <v>2000</v>
      </c>
      <c r="E517" s="10" t="str">
        <f>HYPERLINK("https://twitter.com/mbort07/status/1065610689404968960","1065610689404968960")</f>
        <v>1065610689404968960</v>
      </c>
      <c r="F517" s="11" t="s">
        <v>1927</v>
      </c>
      <c r="G517" s="12"/>
      <c r="H517" s="12"/>
      <c r="I517" s="13">
        <v>0</v>
      </c>
      <c r="J517" s="13">
        <v>0</v>
      </c>
      <c r="K517" s="14" t="str">
        <f>HYPERLINK("http://twitter.com/download/android","Twitter for Android")</f>
        <v>Twitter for Android</v>
      </c>
      <c r="L517" s="13">
        <v>63</v>
      </c>
      <c r="M517" s="13">
        <v>178</v>
      </c>
      <c r="N517" s="13">
        <v>5</v>
      </c>
      <c r="O517" s="15"/>
      <c r="P517" s="6">
        <v>41789.190046296295</v>
      </c>
      <c r="Q517" s="12"/>
      <c r="R517" s="18"/>
      <c r="S517" s="12"/>
      <c r="T517" s="12"/>
      <c r="U517" s="10" t="str">
        <f>HYPERLINK("https://pbs.twimg.com/profile_images/862228751165399040/vrrGI4Bm.jpg","View")</f>
        <v>View</v>
      </c>
    </row>
    <row r="518" spans="1:21" ht="20.399999999999999">
      <c r="A518" s="6">
        <v>43426.263136574074</v>
      </c>
      <c r="B518" s="7" t="str">
        <f>HYPERLINK("https://twitter.com/jasusio","@jasusio")</f>
        <v>@jasusio</v>
      </c>
      <c r="C518" s="8" t="s">
        <v>2001</v>
      </c>
      <c r="D518" s="9" t="s">
        <v>1328</v>
      </c>
      <c r="E518" s="10" t="str">
        <f>HYPERLINK("https://twitter.com/jasusio/status/1065610581552611328","1065610581552611328")</f>
        <v>1065610581552611328</v>
      </c>
      <c r="F518" s="11" t="s">
        <v>962</v>
      </c>
      <c r="G518" s="12"/>
      <c r="H518" s="12"/>
      <c r="I518" s="13">
        <v>2</v>
      </c>
      <c r="J518" s="13">
        <v>1</v>
      </c>
      <c r="K518" s="14" t="str">
        <f t="shared" ref="K518:K519" si="106">HYPERLINK("http://twitter.com","Twitter Web Client")</f>
        <v>Twitter Web Client</v>
      </c>
      <c r="L518" s="13">
        <v>5782</v>
      </c>
      <c r="M518" s="13">
        <v>5565</v>
      </c>
      <c r="N518" s="13">
        <v>46</v>
      </c>
      <c r="O518" s="15"/>
      <c r="P518" s="6">
        <v>40223.72928240741</v>
      </c>
      <c r="Q518" s="17" t="s">
        <v>29</v>
      </c>
      <c r="R518" s="16" t="s">
        <v>2002</v>
      </c>
      <c r="S518" s="12"/>
      <c r="T518" s="12"/>
      <c r="U518" s="10" t="str">
        <f>HYPERLINK("https://pbs.twimg.com/profile_images/2273055900/xxsw04vb6r66zjxlj4o0.png","View")</f>
        <v>View</v>
      </c>
    </row>
    <row r="519" spans="1:21" ht="30.6">
      <c r="A519" s="6">
        <v>43426.262372685189</v>
      </c>
      <c r="B519" s="7" t="str">
        <f>HYPERLINK("https://twitter.com/mcromero6","@mcromero6")</f>
        <v>@mcromero6</v>
      </c>
      <c r="C519" s="8" t="s">
        <v>2003</v>
      </c>
      <c r="D519" s="9" t="s">
        <v>2004</v>
      </c>
      <c r="E519" s="10" t="str">
        <f>HYPERLINK("https://twitter.com/mcromero6/status/1065610303734509568","1065610303734509568")</f>
        <v>1065610303734509568</v>
      </c>
      <c r="F519" s="11" t="s">
        <v>2005</v>
      </c>
      <c r="G519" s="12"/>
      <c r="H519" s="12"/>
      <c r="I519" s="13">
        <v>0</v>
      </c>
      <c r="J519" s="13">
        <v>0</v>
      </c>
      <c r="K519" s="14" t="str">
        <f t="shared" si="106"/>
        <v>Twitter Web Client</v>
      </c>
      <c r="L519" s="13">
        <v>31</v>
      </c>
      <c r="M519" s="13">
        <v>43</v>
      </c>
      <c r="N519" s="13">
        <v>5</v>
      </c>
      <c r="O519" s="15"/>
      <c r="P519" s="6">
        <v>40040.707280092596</v>
      </c>
      <c r="Q519" s="12"/>
      <c r="R519" s="18"/>
      <c r="S519" s="12"/>
      <c r="T519" s="12"/>
      <c r="U519" s="10" t="str">
        <f>HYPERLINK("https://pbs.twimg.com/profile_images/559138991056769024/_fuw5DoR.jpeg","View")</f>
        <v>View</v>
      </c>
    </row>
    <row r="520" spans="1:21" ht="30.6">
      <c r="A520" s="6">
        <v>43426.262002314819</v>
      </c>
      <c r="B520" s="7" t="str">
        <f>HYPERLINK("https://twitter.com/sergijb21","@sergijb21")</f>
        <v>@sergijb21</v>
      </c>
      <c r="C520" s="8" t="s">
        <v>2006</v>
      </c>
      <c r="D520" s="9" t="s">
        <v>2007</v>
      </c>
      <c r="E520" s="10" t="str">
        <f>HYPERLINK("https://twitter.com/sergijb21/status/1065610172758929409","1065610172758929409")</f>
        <v>1065610172758929409</v>
      </c>
      <c r="F520" s="11" t="s">
        <v>1927</v>
      </c>
      <c r="G520" s="12"/>
      <c r="H520" s="12"/>
      <c r="I520" s="13">
        <v>0</v>
      </c>
      <c r="J520" s="13">
        <v>0</v>
      </c>
      <c r="K520" s="14" t="str">
        <f>HYPERLINK("http://twitter.com/download/iphone","Twitter for iPhone")</f>
        <v>Twitter for iPhone</v>
      </c>
      <c r="L520" s="13">
        <v>717</v>
      </c>
      <c r="M520" s="13">
        <v>2266</v>
      </c>
      <c r="N520" s="13">
        <v>16</v>
      </c>
      <c r="O520" s="15"/>
      <c r="P520" s="6">
        <v>40886.300428240742</v>
      </c>
      <c r="Q520" s="12"/>
      <c r="R520" s="16" t="s">
        <v>2008</v>
      </c>
      <c r="S520" s="12"/>
      <c r="T520" s="12"/>
      <c r="U520" s="10" t="str">
        <f>HYPERLINK("https://pbs.twimg.com/profile_images/1022978717063294976/mx6HmG-x.jpg","View")</f>
        <v>View</v>
      </c>
    </row>
    <row r="521" spans="1:21" ht="30.6">
      <c r="A521" s="6">
        <v>43426.258240740739</v>
      </c>
      <c r="B521" s="7" t="str">
        <f>HYPERLINK("https://twitter.com/500DaysOfNerea","@500DaysOfNerea")</f>
        <v>@500DaysOfNerea</v>
      </c>
      <c r="C521" s="8" t="s">
        <v>2010</v>
      </c>
      <c r="D521" s="9" t="s">
        <v>2011</v>
      </c>
      <c r="E521" s="10" t="str">
        <f>HYPERLINK("https://twitter.com/500DaysOfNerea/status/1065608807873748992","1065608807873748992")</f>
        <v>1065608807873748992</v>
      </c>
      <c r="F521" s="12"/>
      <c r="G521" s="12"/>
      <c r="H521" s="12"/>
      <c r="I521" s="13">
        <v>0</v>
      </c>
      <c r="J521" s="13">
        <v>2</v>
      </c>
      <c r="K521" s="14" t="str">
        <f>HYPERLINK("http://twitter.com/download/android","Twitter for Android")</f>
        <v>Twitter for Android</v>
      </c>
      <c r="L521" s="13">
        <v>2276</v>
      </c>
      <c r="M521" s="13">
        <v>851</v>
      </c>
      <c r="N521" s="13">
        <v>39</v>
      </c>
      <c r="O521" s="15"/>
      <c r="P521" s="6">
        <v>40360.300752314812</v>
      </c>
      <c r="Q521" s="17" t="s">
        <v>2012</v>
      </c>
      <c r="R521" s="16" t="s">
        <v>2013</v>
      </c>
      <c r="S521" s="11" t="s">
        <v>2014</v>
      </c>
      <c r="T521" s="12"/>
      <c r="U521" s="10" t="str">
        <f>HYPERLINK("https://pbs.twimg.com/profile_images/967827998367014912/xQnVFRHQ.jpg","View")</f>
        <v>View</v>
      </c>
    </row>
    <row r="522" spans="1:21" ht="20.399999999999999">
      <c r="A522" s="6">
        <v>43426.254664351851</v>
      </c>
      <c r="B522" s="7" t="str">
        <f>HYPERLINK("https://twitter.com/En_Blau_es","@En_Blau_es")</f>
        <v>@En_Blau_es</v>
      </c>
      <c r="C522" s="8" t="s">
        <v>675</v>
      </c>
      <c r="D522" s="9" t="s">
        <v>1417</v>
      </c>
      <c r="E522" s="10" t="str">
        <f>HYPERLINK("https://twitter.com/En_Blau_es/status/1065607510223142912","1065607510223142912")</f>
        <v>1065607510223142912</v>
      </c>
      <c r="F522" s="11" t="s">
        <v>1418</v>
      </c>
      <c r="G522" s="12"/>
      <c r="H522" s="12"/>
      <c r="I522" s="13">
        <v>0</v>
      </c>
      <c r="J522" s="13">
        <v>0</v>
      </c>
      <c r="K522" s="14" t="str">
        <f t="shared" ref="K522:K523" si="107">HYPERLINK("https://about.twitter.com/products/tweetdeck","TweetDeck")</f>
        <v>TweetDeck</v>
      </c>
      <c r="L522" s="13">
        <v>386</v>
      </c>
      <c r="M522" s="13">
        <v>98</v>
      </c>
      <c r="N522" s="13">
        <v>4</v>
      </c>
      <c r="O522" s="15"/>
      <c r="P522" s="6">
        <v>42824.191701388889</v>
      </c>
      <c r="Q522" s="12"/>
      <c r="R522" s="18"/>
      <c r="S522" s="11" t="s">
        <v>678</v>
      </c>
      <c r="T522" s="12"/>
      <c r="U522" s="10" t="str">
        <f>HYPERLINK("https://pbs.twimg.com/profile_images/849621382346534912/rD-7feps.jpg","View")</f>
        <v>View</v>
      </c>
    </row>
    <row r="523" spans="1:21" ht="40.799999999999997">
      <c r="A523" s="6">
        <v>43426.254467592589</v>
      </c>
      <c r="B523" s="7" t="str">
        <f>HYPERLINK("https://twitter.com/elnacionalcat_e","@elnacionalcat_e")</f>
        <v>@elnacionalcat_e</v>
      </c>
      <c r="C523" s="8" t="s">
        <v>776</v>
      </c>
      <c r="D523" s="9" t="s">
        <v>2016</v>
      </c>
      <c r="E523" s="10" t="str">
        <f>HYPERLINK("https://twitter.com/elnacionalcat_e/status/1065607439188406272","1065607439188406272")</f>
        <v>1065607439188406272</v>
      </c>
      <c r="F523" s="11" t="s">
        <v>1418</v>
      </c>
      <c r="G523" s="12"/>
      <c r="H523" s="12"/>
      <c r="I523" s="13">
        <v>0</v>
      </c>
      <c r="J523" s="13">
        <v>0</v>
      </c>
      <c r="K523" s="14" t="str">
        <f t="shared" si="107"/>
        <v>TweetDeck</v>
      </c>
      <c r="L523" s="13">
        <v>5489</v>
      </c>
      <c r="M523" s="13">
        <v>355</v>
      </c>
      <c r="N523" s="13">
        <v>167</v>
      </c>
      <c r="O523" s="15"/>
      <c r="P523" s="6">
        <v>42247.465567129635</v>
      </c>
      <c r="Q523" s="17" t="s">
        <v>638</v>
      </c>
      <c r="R523" s="16" t="s">
        <v>778</v>
      </c>
      <c r="S523" s="11" t="s">
        <v>779</v>
      </c>
      <c r="T523" s="12"/>
      <c r="U523" s="10" t="str">
        <f>HYPERLINK("https://pbs.twimg.com/profile_images/646298514385960960/VEutSP7L.png","View")</f>
        <v>View</v>
      </c>
    </row>
    <row r="524" spans="1:21" ht="40.799999999999997">
      <c r="A524" s="6">
        <v>43426.25136574074</v>
      </c>
      <c r="B524" s="7" t="str">
        <f>HYPERLINK("https://twitter.com/guillempujol","@guillempujol")</f>
        <v>@guillempujol</v>
      </c>
      <c r="C524" s="8" t="s">
        <v>2017</v>
      </c>
      <c r="D524" s="9" t="s">
        <v>2018</v>
      </c>
      <c r="E524" s="10" t="str">
        <f>HYPERLINK("https://twitter.com/guillempujol/status/1065606316851429376","1065606316851429376")</f>
        <v>1065606316851429376</v>
      </c>
      <c r="F524" s="11" t="s">
        <v>292</v>
      </c>
      <c r="G524" s="12"/>
      <c r="H524" s="12"/>
      <c r="I524" s="13">
        <v>0</v>
      </c>
      <c r="J524" s="13">
        <v>2</v>
      </c>
      <c r="K524" s="14" t="str">
        <f t="shared" ref="K524:K525" si="108">HYPERLINK("http://twitter.com/download/android","Twitter for Android")</f>
        <v>Twitter for Android</v>
      </c>
      <c r="L524" s="13">
        <v>597</v>
      </c>
      <c r="M524" s="13">
        <v>1267</v>
      </c>
      <c r="N524" s="13">
        <v>5</v>
      </c>
      <c r="O524" s="15"/>
      <c r="P524" s="6">
        <v>40584.329930555556</v>
      </c>
      <c r="Q524" s="12"/>
      <c r="R524" s="16" t="s">
        <v>2019</v>
      </c>
      <c r="S524" s="11" t="s">
        <v>2020</v>
      </c>
      <c r="T524" s="12"/>
      <c r="U524" s="10" t="str">
        <f>HYPERLINK("https://pbs.twimg.com/profile_images/919613908327034882/edIlWOH7.jpg","View")</f>
        <v>View</v>
      </c>
    </row>
    <row r="525" spans="1:21" ht="30.6">
      <c r="A525" s="6">
        <v>43426.250972222224</v>
      </c>
      <c r="B525" s="7" t="str">
        <f>HYPERLINK("https://twitter.com/Panchicista","@Panchicista")</f>
        <v>@Panchicista</v>
      </c>
      <c r="C525" s="22" t="s">
        <v>2021</v>
      </c>
      <c r="D525" s="9" t="s">
        <v>2022</v>
      </c>
      <c r="E525" s="10" t="str">
        <f>HYPERLINK("https://twitter.com/Panchicista/status/1065606172223463425","1065606172223463425")</f>
        <v>1065606172223463425</v>
      </c>
      <c r="F525" s="17" t="s">
        <v>2024</v>
      </c>
      <c r="G525" s="12"/>
      <c r="H525" s="12"/>
      <c r="I525" s="13">
        <v>1</v>
      </c>
      <c r="J525" s="13">
        <v>6</v>
      </c>
      <c r="K525" s="14" t="str">
        <f t="shared" si="108"/>
        <v>Twitter for Android</v>
      </c>
      <c r="L525" s="13">
        <v>639</v>
      </c>
      <c r="M525" s="13">
        <v>257</v>
      </c>
      <c r="N525" s="13">
        <v>21</v>
      </c>
      <c r="O525" s="15"/>
      <c r="P525" s="6">
        <v>40881.524143518516</v>
      </c>
      <c r="Q525" s="17" t="s">
        <v>2025</v>
      </c>
      <c r="R525" s="16" t="s">
        <v>2026</v>
      </c>
      <c r="S525" s="12"/>
      <c r="T525" s="12"/>
      <c r="U525" s="10" t="str">
        <f>HYPERLINK("https://pbs.twimg.com/profile_images/691763228389548033/YtshJ361.jpg","View")</f>
        <v>View</v>
      </c>
    </row>
    <row r="526" spans="1:21" ht="13.2">
      <c r="A526" s="6">
        <v>43426.249131944445</v>
      </c>
      <c r="B526" s="7" t="str">
        <f>HYPERLINK("https://twitter.com/jauria16","@jauria16")</f>
        <v>@jauria16</v>
      </c>
      <c r="C526" s="8" t="s">
        <v>2030</v>
      </c>
      <c r="D526" s="9" t="s">
        <v>2031</v>
      </c>
      <c r="E526" s="10" t="str">
        <f>HYPERLINK("https://twitter.com/jauria16/status/1065605506360840192","1065605506360840192")</f>
        <v>1065605506360840192</v>
      </c>
      <c r="F526" s="12"/>
      <c r="G526" s="12"/>
      <c r="H526" s="12"/>
      <c r="I526" s="13">
        <v>0</v>
      </c>
      <c r="J526" s="13">
        <v>0</v>
      </c>
      <c r="K526" s="14" t="str">
        <f>HYPERLINK("http://twitter.com/download/iphone","Twitter for iPhone")</f>
        <v>Twitter for iPhone</v>
      </c>
      <c r="L526" s="13">
        <v>11</v>
      </c>
      <c r="M526" s="13">
        <v>125</v>
      </c>
      <c r="N526" s="13">
        <v>0</v>
      </c>
      <c r="O526" s="15"/>
      <c r="P526" s="6">
        <v>43185.073877314819</v>
      </c>
      <c r="Q526" s="12"/>
      <c r="R526" s="16" t="s">
        <v>2032</v>
      </c>
      <c r="S526" s="12"/>
      <c r="T526" s="12"/>
      <c r="U526" s="10" t="str">
        <f>HYPERLINK("https://pbs.twimg.com/profile_images/1065601269300117504/iAD-vrS5.jpg","View")</f>
        <v>View</v>
      </c>
    </row>
    <row r="527" spans="1:21" ht="40.799999999999997">
      <c r="A527" s="6">
        <v>43426.248773148152</v>
      </c>
      <c r="B527" s="7" t="str">
        <f>HYPERLINK("https://twitter.com/LasoNestor","@LasoNestor")</f>
        <v>@LasoNestor</v>
      </c>
      <c r="C527" s="8" t="s">
        <v>2033</v>
      </c>
      <c r="D527" s="9" t="s">
        <v>2034</v>
      </c>
      <c r="E527" s="10" t="str">
        <f>HYPERLINK("https://twitter.com/LasoNestor/status/1065605378140966913","1065605378140966913")</f>
        <v>1065605378140966913</v>
      </c>
      <c r="F527" s="11" t="s">
        <v>2035</v>
      </c>
      <c r="G527" s="12"/>
      <c r="H527" s="12"/>
      <c r="I527" s="13">
        <v>1</v>
      </c>
      <c r="J527" s="13">
        <v>1</v>
      </c>
      <c r="K527" s="14" t="str">
        <f>HYPERLINK("http://twitter.com/download/android","Twitter for Android")</f>
        <v>Twitter for Android</v>
      </c>
      <c r="L527" s="13">
        <v>337</v>
      </c>
      <c r="M527" s="13">
        <v>142</v>
      </c>
      <c r="N527" s="13">
        <v>3</v>
      </c>
      <c r="O527" s="15"/>
      <c r="P527" s="6">
        <v>43390.541284722218</v>
      </c>
      <c r="Q527" s="17" t="s">
        <v>29</v>
      </c>
      <c r="R527" s="16" t="s">
        <v>2036</v>
      </c>
      <c r="S527" s="12"/>
      <c r="T527" s="12"/>
      <c r="U527" s="10" t="str">
        <f>HYPERLINK("https://pbs.twimg.com/profile_images/1054039893435932673/5Z1wf78J.jpg","View")</f>
        <v>View</v>
      </c>
    </row>
    <row r="528" spans="1:21" ht="30.6">
      <c r="A528" s="6">
        <v>43426.247557870374</v>
      </c>
      <c r="B528" s="7" t="str">
        <f>HYPERLINK("https://twitter.com/guillem_vlc","@guillem_vlc")</f>
        <v>@guillem_vlc</v>
      </c>
      <c r="C528" s="8" t="s">
        <v>453</v>
      </c>
      <c r="D528" s="9" t="s">
        <v>2037</v>
      </c>
      <c r="E528" s="10" t="str">
        <f>HYPERLINK("https://twitter.com/guillem_vlc/status/1065604935096651776","1065604935096651776")</f>
        <v>1065604935096651776</v>
      </c>
      <c r="F528" s="17" t="s">
        <v>1648</v>
      </c>
      <c r="G528" s="11" t="s">
        <v>1649</v>
      </c>
      <c r="H528" s="12"/>
      <c r="I528" s="13">
        <v>0</v>
      </c>
      <c r="J528" s="13">
        <v>0</v>
      </c>
      <c r="K528" s="14" t="str">
        <f>HYPERLINK("http://twitter.com/download/iphone","Twitter for iPhone")</f>
        <v>Twitter for iPhone</v>
      </c>
      <c r="L528" s="13">
        <v>592</v>
      </c>
      <c r="M528" s="13">
        <v>576</v>
      </c>
      <c r="N528" s="13">
        <v>11</v>
      </c>
      <c r="O528" s="15"/>
      <c r="P528" s="6">
        <v>40883.643321759257</v>
      </c>
      <c r="Q528" s="12"/>
      <c r="R528" s="18"/>
      <c r="S528" s="12"/>
      <c r="T528" s="12"/>
      <c r="U528" s="10" t="str">
        <f>HYPERLINK("https://pbs.twimg.com/profile_images/939959560785231872/HcC7gh6e.jpg","View")</f>
        <v>View</v>
      </c>
    </row>
    <row r="529" spans="1:21" ht="40.799999999999997">
      <c r="A529" s="6">
        <v>43426.246782407412</v>
      </c>
      <c r="B529" s="7" t="str">
        <f>HYPERLINK("https://twitter.com/fenixssf","@fenixssf")</f>
        <v>@fenixssf</v>
      </c>
      <c r="C529" s="8" t="s">
        <v>2038</v>
      </c>
      <c r="D529" s="9" t="s">
        <v>2039</v>
      </c>
      <c r="E529" s="10" t="str">
        <f>HYPERLINK("https://twitter.com/fenixssf/status/1065604654472536064","1065604654472536064")</f>
        <v>1065604654472536064</v>
      </c>
      <c r="F529" s="11" t="s">
        <v>2040</v>
      </c>
      <c r="G529" s="11" t="s">
        <v>2041</v>
      </c>
      <c r="H529" s="12"/>
      <c r="I529" s="13">
        <v>40</v>
      </c>
      <c r="J529" s="13">
        <v>31</v>
      </c>
      <c r="K529" s="14" t="str">
        <f>HYPERLINK("http://twitter.com/download/android","Twitter for Android")</f>
        <v>Twitter for Android</v>
      </c>
      <c r="L529" s="13">
        <v>1143</v>
      </c>
      <c r="M529" s="13">
        <v>1097</v>
      </c>
      <c r="N529" s="13">
        <v>27</v>
      </c>
      <c r="O529" s="15"/>
      <c r="P529" s="6">
        <v>42561.385509259257</v>
      </c>
      <c r="Q529" s="17" t="s">
        <v>2042</v>
      </c>
      <c r="R529" s="16" t="s">
        <v>2043</v>
      </c>
      <c r="S529" s="11" t="s">
        <v>2044</v>
      </c>
      <c r="T529" s="12"/>
      <c r="U529" s="10" t="str">
        <f>HYPERLINK("https://pbs.twimg.com/profile_images/1010234797216628737/6lcTzpO0.jpg","View")</f>
        <v>View</v>
      </c>
    </row>
    <row r="530" spans="1:21" ht="40.799999999999997">
      <c r="A530" s="6">
        <v>43426.245266203703</v>
      </c>
      <c r="B530" s="7" t="str">
        <f>HYPERLINK("https://twitter.com/josepjover","@josepjover")</f>
        <v>@josepjover</v>
      </c>
      <c r="C530" s="8" t="s">
        <v>1074</v>
      </c>
      <c r="D530" s="9" t="s">
        <v>2045</v>
      </c>
      <c r="E530" s="10" t="str">
        <f>HYPERLINK("https://twitter.com/josepjover/status/1065604106784526338","1065604106784526338")</f>
        <v>1065604106784526338</v>
      </c>
      <c r="F530" s="11" t="s">
        <v>267</v>
      </c>
      <c r="G530" s="12"/>
      <c r="H530" s="12"/>
      <c r="I530" s="13">
        <v>0</v>
      </c>
      <c r="J530" s="13">
        <v>2</v>
      </c>
      <c r="K530" s="14" t="str">
        <f t="shared" ref="K530:K531" si="109">HYPERLINK("http://twitter.com","Twitter Web Client")</f>
        <v>Twitter Web Client</v>
      </c>
      <c r="L530" s="13">
        <v>8735</v>
      </c>
      <c r="M530" s="13">
        <v>172</v>
      </c>
      <c r="N530" s="13">
        <v>410</v>
      </c>
      <c r="O530" s="15"/>
      <c r="P530" s="6">
        <v>40396.108113425929</v>
      </c>
      <c r="Q530" s="17" t="s">
        <v>187</v>
      </c>
      <c r="R530" s="16" t="s">
        <v>1075</v>
      </c>
      <c r="S530" s="11" t="s">
        <v>1076</v>
      </c>
      <c r="T530" s="12"/>
      <c r="U530" s="10" t="str">
        <f>HYPERLINK("https://pbs.twimg.com/profile_images/1016391950012993537/PcM6Szg3.jpg","View")</f>
        <v>View</v>
      </c>
    </row>
    <row r="531" spans="1:21" ht="40.799999999999997">
      <c r="A531" s="6">
        <v>43426.243379629625</v>
      </c>
      <c r="B531" s="7" t="str">
        <f>HYPERLINK("https://twitter.com/DVinam7","@DVinam7")</f>
        <v>@DVinam7</v>
      </c>
      <c r="C531" s="8" t="s">
        <v>2046</v>
      </c>
      <c r="D531" s="9" t="s">
        <v>2047</v>
      </c>
      <c r="E531" s="10" t="str">
        <f>HYPERLINK("https://twitter.com/DVinam7/status/1065603422295068672","1065603422295068672")</f>
        <v>1065603422295068672</v>
      </c>
      <c r="F531" s="17" t="s">
        <v>1648</v>
      </c>
      <c r="G531" s="11" t="s">
        <v>1649</v>
      </c>
      <c r="H531" s="12"/>
      <c r="I531" s="13">
        <v>0</v>
      </c>
      <c r="J531" s="13">
        <v>0</v>
      </c>
      <c r="K531" s="14" t="str">
        <f t="shared" si="109"/>
        <v>Twitter Web Client</v>
      </c>
      <c r="L531" s="13">
        <v>316</v>
      </c>
      <c r="M531" s="13">
        <v>489</v>
      </c>
      <c r="N531" s="13">
        <v>11</v>
      </c>
      <c r="O531" s="15"/>
      <c r="P531" s="6">
        <v>40654.266712962963</v>
      </c>
      <c r="Q531" s="17" t="s">
        <v>2048</v>
      </c>
      <c r="R531" s="16" t="s">
        <v>2049</v>
      </c>
      <c r="S531" s="11" t="s">
        <v>2050</v>
      </c>
      <c r="T531" s="12"/>
      <c r="U531" s="10" t="str">
        <f>HYPERLINK("https://pbs.twimg.com/profile_images/1057669578992599040/dx2VZFX2.jpg","View")</f>
        <v>View</v>
      </c>
    </row>
    <row r="532" spans="1:21" ht="51">
      <c r="A532" s="6">
        <v>43426.242615740739</v>
      </c>
      <c r="B532" s="7" t="str">
        <f>HYPERLINK("https://twitter.com/Abogado_WTorres","@Abogado_WTorres")</f>
        <v>@Abogado_WTorres</v>
      </c>
      <c r="C532" s="8" t="s">
        <v>2051</v>
      </c>
      <c r="D532" s="9" t="s">
        <v>2052</v>
      </c>
      <c r="E532" s="10" t="str">
        <f>HYPERLINK("https://twitter.com/Abogado_WTorres/status/1065603147412983811","1065603147412983811")</f>
        <v>1065603147412983811</v>
      </c>
      <c r="F532" s="11" t="s">
        <v>2053</v>
      </c>
      <c r="G532" s="12"/>
      <c r="H532" s="12"/>
      <c r="I532" s="13">
        <v>0</v>
      </c>
      <c r="J532" s="13">
        <v>0</v>
      </c>
      <c r="K532" s="14" t="str">
        <f>HYPERLINK("http://www.facebook.com/twitter","Facebook")</f>
        <v>Facebook</v>
      </c>
      <c r="L532" s="13">
        <v>350</v>
      </c>
      <c r="M532" s="13">
        <v>395</v>
      </c>
      <c r="N532" s="13">
        <v>1</v>
      </c>
      <c r="O532" s="15"/>
      <c r="P532" s="6">
        <v>40983.019050925926</v>
      </c>
      <c r="Q532" s="17" t="s">
        <v>29</v>
      </c>
      <c r="R532" s="16" t="s">
        <v>2054</v>
      </c>
      <c r="S532" s="12"/>
      <c r="T532" s="12"/>
      <c r="U532" s="10" t="str">
        <f>HYPERLINK("https://pbs.twimg.com/profile_images/712090737442217984/fi60dQ-V.jpg","View")</f>
        <v>View</v>
      </c>
    </row>
    <row r="533" spans="1:21" ht="30.6">
      <c r="A533" s="6">
        <v>43426.239618055552</v>
      </c>
      <c r="B533" s="7" t="str">
        <f>HYPERLINK("https://twitter.com/JorgeBotos1","@JorgeBotos1")</f>
        <v>@JorgeBotos1</v>
      </c>
      <c r="C533" s="8" t="s">
        <v>2055</v>
      </c>
      <c r="D533" s="9" t="s">
        <v>2056</v>
      </c>
      <c r="E533" s="10" t="str">
        <f>HYPERLINK("https://twitter.com/JorgeBotos1/status/1065602058223607808","1065602058223607808")</f>
        <v>1065602058223607808</v>
      </c>
      <c r="F533" s="12"/>
      <c r="G533" s="12"/>
      <c r="H533" s="12"/>
      <c r="I533" s="13">
        <v>0</v>
      </c>
      <c r="J533" s="13">
        <v>1</v>
      </c>
      <c r="K533" s="14" t="str">
        <f>HYPERLINK("https://www.fitmore.es/bernabot","Bernabbot")</f>
        <v>Bernabbot</v>
      </c>
      <c r="L533" s="13">
        <v>21</v>
      </c>
      <c r="M533" s="13">
        <v>0</v>
      </c>
      <c r="N533" s="13">
        <v>0</v>
      </c>
      <c r="O533" s="15"/>
      <c r="P533" s="6">
        <v>42261.018738425926</v>
      </c>
      <c r="Q533" s="12"/>
      <c r="R533" s="18"/>
      <c r="S533" s="12"/>
      <c r="T533" s="12"/>
      <c r="U533" s="10" t="str">
        <f>HYPERLINK("https://pbs.twimg.com/profile_images/1065556972932657152/Bbebrk6R.jpg","View")</f>
        <v>View</v>
      </c>
    </row>
    <row r="534" spans="1:21" ht="13.2">
      <c r="A534" s="6">
        <v>43426.23918981482</v>
      </c>
      <c r="B534" s="7" t="str">
        <f>HYPERLINK("https://twitter.com/SusanaMorCas","@SusanaMorCas")</f>
        <v>@SusanaMorCas</v>
      </c>
      <c r="C534" s="8" t="s">
        <v>2058</v>
      </c>
      <c r="D534" s="9" t="s">
        <v>2059</v>
      </c>
      <c r="E534" s="10" t="str">
        <f>HYPERLINK("https://twitter.com/SusanaMorCas/status/1065601905278312448","1065601905278312448")</f>
        <v>1065601905278312448</v>
      </c>
      <c r="F534" s="11" t="s">
        <v>962</v>
      </c>
      <c r="G534" s="12"/>
      <c r="H534" s="12"/>
      <c r="I534" s="13">
        <v>0</v>
      </c>
      <c r="J534" s="13">
        <v>0</v>
      </c>
      <c r="K534" s="14" t="str">
        <f>HYPERLINK("http://www.facebook.com/twitter","Facebook")</f>
        <v>Facebook</v>
      </c>
      <c r="L534" s="13">
        <v>277</v>
      </c>
      <c r="M534" s="13">
        <v>620</v>
      </c>
      <c r="N534" s="13">
        <v>29</v>
      </c>
      <c r="O534" s="15"/>
      <c r="P534" s="6">
        <v>41812.432349537034</v>
      </c>
      <c r="Q534" s="17" t="s">
        <v>2061</v>
      </c>
      <c r="R534" s="16" t="s">
        <v>2062</v>
      </c>
      <c r="S534" s="11" t="s">
        <v>2063</v>
      </c>
      <c r="T534" s="12"/>
      <c r="U534" s="10" t="str">
        <f>HYPERLINK("https://pbs.twimg.com/profile_images/998570357647785986/RP0-diNg.jpg","View")</f>
        <v>View</v>
      </c>
    </row>
    <row r="535" spans="1:21" ht="30.6">
      <c r="A535" s="6">
        <v>43426.238865740743</v>
      </c>
      <c r="B535" s="7" t="str">
        <f>HYPERLINK("https://twitter.com/CsarVictoria","@CsarVictoria")</f>
        <v>@CsarVictoria</v>
      </c>
      <c r="C535" s="8" t="s">
        <v>423</v>
      </c>
      <c r="D535" s="9" t="s">
        <v>2064</v>
      </c>
      <c r="E535" s="10" t="str">
        <f>HYPERLINK("https://twitter.com/CsarVictoria/status/1065601785941901314","1065601785941901314")</f>
        <v>1065601785941901314</v>
      </c>
      <c r="F535" s="12"/>
      <c r="G535" s="12"/>
      <c r="H535" s="12"/>
      <c r="I535" s="13">
        <v>0</v>
      </c>
      <c r="J535" s="13">
        <v>0</v>
      </c>
      <c r="K535" s="14" t="str">
        <f>HYPERLINK("http://twitter.com/download/android","Twitter for Android")</f>
        <v>Twitter for Android</v>
      </c>
      <c r="L535" s="13">
        <v>125</v>
      </c>
      <c r="M535" s="13">
        <v>88</v>
      </c>
      <c r="N535" s="13">
        <v>2</v>
      </c>
      <c r="O535" s="15"/>
      <c r="P535" s="6">
        <v>41793.145810185189</v>
      </c>
      <c r="Q535" s="17" t="s">
        <v>427</v>
      </c>
      <c r="R535" s="18"/>
      <c r="S535" s="12"/>
      <c r="T535" s="12"/>
      <c r="U535" s="10" t="str">
        <f>HYPERLINK("https://pbs.twimg.com/profile_images/883724764312981504/U3N1NWAC.jpg","View")</f>
        <v>View</v>
      </c>
    </row>
    <row r="536" spans="1:21" ht="51">
      <c r="A536" s="6">
        <v>43426.236608796295</v>
      </c>
      <c r="B536" s="7" t="str">
        <f>HYPERLINK("https://twitter.com/sotosinmas","@sotosinmas")</f>
        <v>@sotosinmas</v>
      </c>
      <c r="C536" s="8" t="s">
        <v>2065</v>
      </c>
      <c r="D536" s="9" t="s">
        <v>2066</v>
      </c>
      <c r="E536" s="10" t="str">
        <f>HYPERLINK("https://twitter.com/sotosinmas/status/1065600968002347008","1065600968002347008")</f>
        <v>1065600968002347008</v>
      </c>
      <c r="F536" s="17" t="s">
        <v>1648</v>
      </c>
      <c r="G536" s="11" t="s">
        <v>1649</v>
      </c>
      <c r="H536" s="12"/>
      <c r="I536" s="13">
        <v>7</v>
      </c>
      <c r="J536" s="13">
        <v>17</v>
      </c>
      <c r="K536" s="14" t="str">
        <f>HYPERLINK("http://twitter.com","Twitter Web Client")</f>
        <v>Twitter Web Client</v>
      </c>
      <c r="L536" s="13">
        <v>4548</v>
      </c>
      <c r="M536" s="13">
        <v>893</v>
      </c>
      <c r="N536" s="13">
        <v>64</v>
      </c>
      <c r="O536" s="15"/>
      <c r="P536" s="6">
        <v>40661.546006944445</v>
      </c>
      <c r="Q536" s="17" t="s">
        <v>29</v>
      </c>
      <c r="R536" s="16" t="s">
        <v>2067</v>
      </c>
      <c r="S536" s="12"/>
      <c r="T536" s="12"/>
      <c r="U536" s="10" t="str">
        <f>HYPERLINK("https://pbs.twimg.com/profile_images/986294607540572170/oDBR8wbt.jpg","View")</f>
        <v>View</v>
      </c>
    </row>
    <row r="537" spans="1:21" ht="20.399999999999999">
      <c r="A537" s="6">
        <v>43426.235416666663</v>
      </c>
      <c r="B537" s="7" t="str">
        <f>HYPERLINK("https://twitter.com/eldiarioes","@eldiarioes")</f>
        <v>@eldiarioes</v>
      </c>
      <c r="C537" s="20" t="s">
        <v>687</v>
      </c>
      <c r="D537" s="9" t="s">
        <v>2068</v>
      </c>
      <c r="E537" s="10" t="str">
        <f>HYPERLINK("https://twitter.com/eldiarioes/status/1065600537771589634","1065600537771589634")</f>
        <v>1065600537771589634</v>
      </c>
      <c r="F537" s="11" t="s">
        <v>962</v>
      </c>
      <c r="G537" s="11" t="s">
        <v>1649</v>
      </c>
      <c r="H537" s="12"/>
      <c r="I537" s="13">
        <v>29</v>
      </c>
      <c r="J537" s="13">
        <v>23</v>
      </c>
      <c r="K537" s="14" t="str">
        <f>HYPERLINK("https://about.twitter.com/products/tweetdeck","TweetDeck")</f>
        <v>TweetDeck</v>
      </c>
      <c r="L537" s="13">
        <v>936615</v>
      </c>
      <c r="M537" s="13">
        <v>456</v>
      </c>
      <c r="N537" s="13">
        <v>11235</v>
      </c>
      <c r="O537" s="19" t="s">
        <v>74</v>
      </c>
      <c r="P537" s="6">
        <v>40992.505856481483</v>
      </c>
      <c r="Q537" s="12"/>
      <c r="R537" s="16" t="s">
        <v>692</v>
      </c>
      <c r="S537" s="11" t="s">
        <v>693</v>
      </c>
      <c r="T537" s="12"/>
      <c r="U537" s="10" t="str">
        <f>HYPERLINK("https://pbs.twimg.com/profile_images/1016600645292511232/eYIkIK2s.jpg","View")</f>
        <v>View</v>
      </c>
    </row>
    <row r="538" spans="1:21" ht="51">
      <c r="A538" s="6">
        <v>43426.235358796301</v>
      </c>
      <c r="B538" s="7" t="str">
        <f>HYPERLINK("https://twitter.com/davigon2","@davigon2")</f>
        <v>@davigon2</v>
      </c>
      <c r="C538" s="8" t="s">
        <v>1697</v>
      </c>
      <c r="D538" s="9" t="s">
        <v>1698</v>
      </c>
      <c r="E538" s="10" t="str">
        <f>HYPERLINK("https://twitter.com/davigon2/status/1065600517383032832","1065600517383032832")</f>
        <v>1065600517383032832</v>
      </c>
      <c r="F538" s="12"/>
      <c r="G538" s="12"/>
      <c r="H538" s="12"/>
      <c r="I538" s="13">
        <v>2</v>
      </c>
      <c r="J538" s="13">
        <v>3</v>
      </c>
      <c r="K538" s="14" t="str">
        <f t="shared" ref="K538:K539" si="110">HYPERLINK("http://twitter.com","Twitter Web Client")</f>
        <v>Twitter Web Client</v>
      </c>
      <c r="L538" s="13">
        <v>420</v>
      </c>
      <c r="M538" s="13">
        <v>260</v>
      </c>
      <c r="N538" s="13">
        <v>14</v>
      </c>
      <c r="O538" s="15"/>
      <c r="P538" s="6">
        <v>40244.569340277776</v>
      </c>
      <c r="Q538" s="17" t="s">
        <v>1702</v>
      </c>
      <c r="R538" s="16" t="s">
        <v>1703</v>
      </c>
      <c r="S538" s="11" t="s">
        <v>1704</v>
      </c>
      <c r="T538" s="12"/>
      <c r="U538" s="10" t="str">
        <f>HYPERLINK("https://pbs.twimg.com/profile_images/739395454291480576/4jumwj5c.png","View")</f>
        <v>View</v>
      </c>
    </row>
    <row r="539" spans="1:21" ht="40.799999999999997">
      <c r="A539" s="6">
        <v>43426.234155092592</v>
      </c>
      <c r="B539" s="7" t="str">
        <f>HYPERLINK("https://twitter.com/pedroocaavaquer","@pedroocaavaquer")</f>
        <v>@pedroocaavaquer</v>
      </c>
      <c r="C539" s="8" t="s">
        <v>2069</v>
      </c>
      <c r="D539" s="9" t="s">
        <v>2070</v>
      </c>
      <c r="E539" s="10" t="str">
        <f>HYPERLINK("https://twitter.com/pedroocaavaquer/status/1065600080034578432","1065600080034578432")</f>
        <v>1065600080034578432</v>
      </c>
      <c r="F539" s="11" t="s">
        <v>2071</v>
      </c>
      <c r="G539" s="12"/>
      <c r="H539" s="12"/>
      <c r="I539" s="13">
        <v>0</v>
      </c>
      <c r="J539" s="13">
        <v>0</v>
      </c>
      <c r="K539" s="14" t="str">
        <f t="shared" si="110"/>
        <v>Twitter Web Client</v>
      </c>
      <c r="L539" s="13">
        <v>8248</v>
      </c>
      <c r="M539" s="13">
        <v>7142</v>
      </c>
      <c r="N539" s="13">
        <v>54</v>
      </c>
      <c r="O539" s="15"/>
      <c r="P539" s="6">
        <v>41015.123240740737</v>
      </c>
      <c r="Q539" s="12"/>
      <c r="R539" s="16" t="s">
        <v>2072</v>
      </c>
      <c r="S539" s="12"/>
      <c r="T539" s="12"/>
      <c r="U539" s="10" t="str">
        <f>HYPERLINK("https://pbs.twimg.com/profile_images/1042806707926323200/EkyaO84-.jpg","View")</f>
        <v>View</v>
      </c>
    </row>
    <row r="540" spans="1:21" ht="30.6">
      <c r="A540" s="6">
        <v>43426.232141203705</v>
      </c>
      <c r="B540" s="7" t="str">
        <f>HYPERLINK("https://twitter.com/fromtheTartarus","@fromtheTartarus")</f>
        <v>@fromtheTartarus</v>
      </c>
      <c r="C540" s="8" t="s">
        <v>2073</v>
      </c>
      <c r="D540" s="9" t="s">
        <v>2074</v>
      </c>
      <c r="E540" s="10" t="str">
        <f>HYPERLINK("https://twitter.com/fromtheTartarus/status/1065599349059739648","1065599349059739648")</f>
        <v>1065599349059739648</v>
      </c>
      <c r="F540" s="12"/>
      <c r="G540" s="12"/>
      <c r="H540" s="12"/>
      <c r="I540" s="13">
        <v>1</v>
      </c>
      <c r="J540" s="13">
        <v>7</v>
      </c>
      <c r="K540" s="14" t="str">
        <f>HYPERLINK("http://twitter.com/download/android","Twitter for Android")</f>
        <v>Twitter for Android</v>
      </c>
      <c r="L540" s="13">
        <v>1317</v>
      </c>
      <c r="M540" s="13">
        <v>1331</v>
      </c>
      <c r="N540" s="13">
        <v>0</v>
      </c>
      <c r="O540" s="15"/>
      <c r="P540" s="6">
        <v>41490.311990740738</v>
      </c>
      <c r="Q540" s="12"/>
      <c r="R540" s="16" t="s">
        <v>2075</v>
      </c>
      <c r="S540" s="12"/>
      <c r="T540" s="12"/>
      <c r="U540" s="10" t="str">
        <f>HYPERLINK("https://pbs.twimg.com/profile_images/1053912689972523008/kZhxHvEO.jpg","View")</f>
        <v>View</v>
      </c>
    </row>
    <row r="541" spans="1:21" ht="30.6">
      <c r="A541" s="6">
        <v>43426.231863425928</v>
      </c>
      <c r="B541" s="7" t="str">
        <f>HYPERLINK("https://twitter.com/jaltfer","@jaltfer")</f>
        <v>@jaltfer</v>
      </c>
      <c r="C541" s="8" t="s">
        <v>2076</v>
      </c>
      <c r="D541" s="9" t="s">
        <v>2077</v>
      </c>
      <c r="E541" s="10" t="str">
        <f>HYPERLINK("https://twitter.com/jaltfer/status/1065599248836820992","1065599248836820992")</f>
        <v>1065599248836820992</v>
      </c>
      <c r="F541" s="11" t="s">
        <v>2078</v>
      </c>
      <c r="G541" s="12"/>
      <c r="H541" s="12"/>
      <c r="I541" s="13">
        <v>0</v>
      </c>
      <c r="J541" s="13">
        <v>0</v>
      </c>
      <c r="K541" s="14" t="str">
        <f>HYPERLINK("http://twitter.com/download/iphone","Twitter for iPhone")</f>
        <v>Twitter for iPhone</v>
      </c>
      <c r="L541" s="13">
        <v>158</v>
      </c>
      <c r="M541" s="13">
        <v>421</v>
      </c>
      <c r="N541" s="13">
        <v>9</v>
      </c>
      <c r="O541" s="15"/>
      <c r="P541" s="6">
        <v>40599.263136574074</v>
      </c>
      <c r="Q541" s="17" t="s">
        <v>392</v>
      </c>
      <c r="R541" s="16" t="s">
        <v>2079</v>
      </c>
      <c r="S541" s="12"/>
      <c r="T541" s="12"/>
      <c r="U541" s="10" t="str">
        <f>HYPERLINK("https://pbs.twimg.com/profile_images/616538923066638336/-UUiGMBD.jpg","View")</f>
        <v>View</v>
      </c>
    </row>
    <row r="542" spans="1:21" ht="40.799999999999997">
      <c r="A542" s="6">
        <v>43426.23060185185</v>
      </c>
      <c r="B542" s="7" t="str">
        <f>HYPERLINK("https://twitter.com/ElHuetex","@ElHuetex")</f>
        <v>@ElHuetex</v>
      </c>
      <c r="C542" s="8" t="s">
        <v>2080</v>
      </c>
      <c r="D542" s="9" t="s">
        <v>2081</v>
      </c>
      <c r="E542" s="10" t="str">
        <f>HYPERLINK("https://twitter.com/ElHuetex/status/1065598793763209221","1065598793763209221")</f>
        <v>1065598793763209221</v>
      </c>
      <c r="F542" s="11" t="s">
        <v>1861</v>
      </c>
      <c r="G542" s="11" t="s">
        <v>578</v>
      </c>
      <c r="H542" s="12"/>
      <c r="I542" s="13">
        <v>0</v>
      </c>
      <c r="J542" s="13">
        <v>0</v>
      </c>
      <c r="K542" s="14" t="str">
        <f>HYPERLINK("http://twitter.com/download/android","Twitter for Android")</f>
        <v>Twitter for Android</v>
      </c>
      <c r="L542" s="13">
        <v>294</v>
      </c>
      <c r="M542" s="13">
        <v>517</v>
      </c>
      <c r="N542" s="13">
        <v>1</v>
      </c>
      <c r="O542" s="15"/>
      <c r="P542" s="6">
        <v>41172.35</v>
      </c>
      <c r="Q542" s="17" t="s">
        <v>2082</v>
      </c>
      <c r="R542" s="16" t="s">
        <v>2083</v>
      </c>
      <c r="S542" s="12"/>
      <c r="T542" s="12"/>
      <c r="U542" s="10" t="str">
        <f>HYPERLINK("https://pbs.twimg.com/profile_images/950139146617712640/WECulBbw.jpg","View")</f>
        <v>View</v>
      </c>
    </row>
    <row r="543" spans="1:21" ht="51">
      <c r="A543" s="6">
        <v>43426.229780092588</v>
      </c>
      <c r="B543" s="7" t="str">
        <f>HYPERLINK("https://twitter.com/XurxoSG","@XurxoSG")</f>
        <v>@XurxoSG</v>
      </c>
      <c r="C543" s="8" t="s">
        <v>2084</v>
      </c>
      <c r="D543" s="9" t="s">
        <v>2085</v>
      </c>
      <c r="E543" s="10" t="str">
        <f>HYPERLINK("https://twitter.com/XurxoSG/status/1065598492909932544","1065598492909932544")</f>
        <v>1065598492909932544</v>
      </c>
      <c r="F543" s="12"/>
      <c r="G543" s="12"/>
      <c r="H543" s="12"/>
      <c r="I543" s="13">
        <v>0</v>
      </c>
      <c r="J543" s="13">
        <v>1</v>
      </c>
      <c r="K543" s="14" t="str">
        <f t="shared" ref="K543:K544" si="111">HYPERLINK("http://twitter.com","Twitter Web Client")</f>
        <v>Twitter Web Client</v>
      </c>
      <c r="L543" s="13">
        <v>479</v>
      </c>
      <c r="M543" s="13">
        <v>592</v>
      </c>
      <c r="N543" s="13">
        <v>1</v>
      </c>
      <c r="O543" s="15"/>
      <c r="P543" s="6">
        <v>40940.550937499997</v>
      </c>
      <c r="Q543" s="12"/>
      <c r="R543" s="16" t="s">
        <v>2086</v>
      </c>
      <c r="S543" s="12"/>
      <c r="T543" s="12"/>
      <c r="U543" s="10" t="str">
        <f>HYPERLINK("https://pbs.twimg.com/profile_images/1015061711718580226/JedWATdY.jpg","View")</f>
        <v>View</v>
      </c>
    </row>
    <row r="544" spans="1:21" ht="71.400000000000006">
      <c r="A544" s="6">
        <v>43426.22792824074</v>
      </c>
      <c r="B544" s="7" t="str">
        <f>HYPERLINK("https://twitter.com/l_albaluz","@l_albaluz")</f>
        <v>@l_albaluz</v>
      </c>
      <c r="C544" s="8" t="s">
        <v>2087</v>
      </c>
      <c r="D544" s="9" t="s">
        <v>2088</v>
      </c>
      <c r="E544" s="10" t="str">
        <f>HYPERLINK("https://twitter.com/l_albaluz/status/1065597821334769666","1065597821334769666")</f>
        <v>1065597821334769666</v>
      </c>
      <c r="F544" s="11" t="s">
        <v>2089</v>
      </c>
      <c r="G544" s="11" t="s">
        <v>694</v>
      </c>
      <c r="H544" s="12"/>
      <c r="I544" s="13">
        <v>0</v>
      </c>
      <c r="J544" s="13">
        <v>0</v>
      </c>
      <c r="K544" s="14" t="str">
        <f t="shared" si="111"/>
        <v>Twitter Web Client</v>
      </c>
      <c r="L544" s="13">
        <v>165</v>
      </c>
      <c r="M544" s="13">
        <v>403</v>
      </c>
      <c r="N544" s="13">
        <v>0</v>
      </c>
      <c r="O544" s="15"/>
      <c r="P544" s="6">
        <v>40640.185578703706</v>
      </c>
      <c r="Q544" s="17" t="s">
        <v>1604</v>
      </c>
      <c r="R544" s="16" t="s">
        <v>2090</v>
      </c>
      <c r="S544" s="12"/>
      <c r="T544" s="12"/>
      <c r="U544" s="10" t="str">
        <f>HYPERLINK("https://pbs.twimg.com/profile_images/990924096325279745/BkMttcbn.jpg","View")</f>
        <v>View</v>
      </c>
    </row>
    <row r="545" spans="1:21" ht="40.799999999999997">
      <c r="A545" s="6">
        <v>43426.227303240739</v>
      </c>
      <c r="B545" s="7" t="str">
        <f>HYPERLINK("https://twitter.com/DBRMcqueen","@DBRMcqueen")</f>
        <v>@DBRMcqueen</v>
      </c>
      <c r="C545" s="8" t="s">
        <v>2092</v>
      </c>
      <c r="D545" s="9" t="s">
        <v>2093</v>
      </c>
      <c r="E545" s="10" t="str">
        <f>HYPERLINK("https://twitter.com/DBRMcqueen/status/1065597597585428480","1065597597585428480")</f>
        <v>1065597597585428480</v>
      </c>
      <c r="F545" s="12"/>
      <c r="G545" s="12"/>
      <c r="H545" s="12"/>
      <c r="I545" s="13">
        <v>0</v>
      </c>
      <c r="J545" s="13">
        <v>0</v>
      </c>
      <c r="K545" s="14" t="str">
        <f t="shared" ref="K545:K547" si="112">HYPERLINK("http://twitter.com/download/android","Twitter for Android")</f>
        <v>Twitter for Android</v>
      </c>
      <c r="L545" s="13">
        <v>337</v>
      </c>
      <c r="M545" s="13">
        <v>996</v>
      </c>
      <c r="N545" s="13">
        <v>10</v>
      </c>
      <c r="O545" s="15"/>
      <c r="P545" s="6">
        <v>40255.453888888893</v>
      </c>
      <c r="Q545" s="17" t="s">
        <v>1205</v>
      </c>
      <c r="R545" s="16" t="s">
        <v>2096</v>
      </c>
      <c r="S545" s="12"/>
      <c r="T545" s="12"/>
      <c r="U545" s="10" t="str">
        <f>HYPERLINK("https://pbs.twimg.com/profile_images/1009046678781952000/7fSEUKR0.jpg","View")</f>
        <v>View</v>
      </c>
    </row>
    <row r="546" spans="1:21" ht="20.399999999999999">
      <c r="A546" s="6">
        <v>43426.227002314816</v>
      </c>
      <c r="B546" s="7" t="str">
        <f>HYPERLINK("https://twitter.com/rosamaria18btr","@rosamaria18btr")</f>
        <v>@rosamaria18btr</v>
      </c>
      <c r="C546" s="8" t="s">
        <v>1727</v>
      </c>
      <c r="D546" s="9" t="s">
        <v>1728</v>
      </c>
      <c r="E546" s="10" t="str">
        <f>HYPERLINK("https://twitter.com/rosamaria18btr/status/1065597487640137729","1065597487640137729")</f>
        <v>1065597487640137729</v>
      </c>
      <c r="F546" s="11" t="s">
        <v>856</v>
      </c>
      <c r="G546" s="12"/>
      <c r="H546" s="12"/>
      <c r="I546" s="13">
        <v>0</v>
      </c>
      <c r="J546" s="13">
        <v>0</v>
      </c>
      <c r="K546" s="14" t="str">
        <f t="shared" si="112"/>
        <v>Twitter for Android</v>
      </c>
      <c r="L546" s="13">
        <v>1986</v>
      </c>
      <c r="M546" s="13">
        <v>2004</v>
      </c>
      <c r="N546" s="13">
        <v>15</v>
      </c>
      <c r="O546" s="15"/>
      <c r="P546" s="6">
        <v>41434.331724537034</v>
      </c>
      <c r="Q546" s="17" t="s">
        <v>208</v>
      </c>
      <c r="R546" s="18"/>
      <c r="S546" s="12"/>
      <c r="T546" s="12"/>
      <c r="U546" s="10" t="str">
        <f>HYPERLINK("https://pbs.twimg.com/profile_images/972005691081637889/LtWxCVTY.jpg","View")</f>
        <v>View</v>
      </c>
    </row>
    <row r="547" spans="1:21" ht="30.6">
      <c r="A547" s="6">
        <v>43426.226006944446</v>
      </c>
      <c r="B547" s="7" t="str">
        <f>HYPERLINK("https://twitter.com/alexfernandez","@alexfernandez")</f>
        <v>@alexfernandez</v>
      </c>
      <c r="C547" s="8" t="s">
        <v>2097</v>
      </c>
      <c r="D547" s="9" t="s">
        <v>2098</v>
      </c>
      <c r="E547" s="10" t="str">
        <f>HYPERLINK("https://twitter.com/alexfernandez/status/1065597125294268416","1065597125294268416")</f>
        <v>1065597125294268416</v>
      </c>
      <c r="F547" s="12"/>
      <c r="G547" s="12"/>
      <c r="H547" s="12"/>
      <c r="I547" s="13">
        <v>4</v>
      </c>
      <c r="J547" s="13">
        <v>23</v>
      </c>
      <c r="K547" s="14" t="str">
        <f t="shared" si="112"/>
        <v>Twitter for Android</v>
      </c>
      <c r="L547" s="13">
        <v>2094</v>
      </c>
      <c r="M547" s="13">
        <v>389</v>
      </c>
      <c r="N547" s="13">
        <v>62</v>
      </c>
      <c r="O547" s="15"/>
      <c r="P547" s="6">
        <v>39986.426006944443</v>
      </c>
      <c r="Q547" s="17" t="s">
        <v>2099</v>
      </c>
      <c r="R547" s="16" t="s">
        <v>2100</v>
      </c>
      <c r="S547" s="12"/>
      <c r="T547" s="12"/>
      <c r="U547" s="10" t="str">
        <f>HYPERLINK("https://pbs.twimg.com/profile_images/276788259/Dibujo3.jpg","View")</f>
        <v>View</v>
      </c>
    </row>
    <row r="548" spans="1:21" ht="30.6">
      <c r="A548" s="6">
        <v>43426.22555555556</v>
      </c>
      <c r="B548" s="7" t="str">
        <f>HYPERLINK("https://twitter.com/RAMONYOPS","@RAMONYOPS")</f>
        <v>@RAMONYOPS</v>
      </c>
      <c r="C548" s="8" t="s">
        <v>814</v>
      </c>
      <c r="D548" s="9" t="s">
        <v>266</v>
      </c>
      <c r="E548" s="10" t="str">
        <f>HYPERLINK("https://twitter.com/RAMONYOPS/status/1065596961833783296","1065596961833783296")</f>
        <v>1065596961833783296</v>
      </c>
      <c r="F548" s="11" t="s">
        <v>267</v>
      </c>
      <c r="G548" s="12"/>
      <c r="H548" s="12"/>
      <c r="I548" s="13">
        <v>0</v>
      </c>
      <c r="J548" s="13">
        <v>0</v>
      </c>
      <c r="K548" s="14" t="str">
        <f t="shared" ref="K548:K550" si="113">HYPERLINK("http://twitter.com","Twitter Web Client")</f>
        <v>Twitter Web Client</v>
      </c>
      <c r="L548" s="13">
        <v>1709</v>
      </c>
      <c r="M548" s="13">
        <v>1766</v>
      </c>
      <c r="N548" s="13">
        <v>21</v>
      </c>
      <c r="O548" s="15"/>
      <c r="P548" s="6">
        <v>39877.41920138889</v>
      </c>
      <c r="Q548" s="12"/>
      <c r="R548" s="16" t="s">
        <v>815</v>
      </c>
      <c r="S548" s="11" t="s">
        <v>816</v>
      </c>
      <c r="T548" s="12"/>
      <c r="U548" s="10" t="str">
        <f>HYPERLINK("https://pbs.twimg.com/profile_images/1064903701175906305/juDxNOsb.jpg","View")</f>
        <v>View</v>
      </c>
    </row>
    <row r="549" spans="1:21" ht="51">
      <c r="A549" s="6">
        <v>43426.224641203706</v>
      </c>
      <c r="B549" s="7" t="str">
        <f>HYPERLINK("https://twitter.com/ldpsincomplejos","@ldpsincomplejos")</f>
        <v>@ldpsincomplejos</v>
      </c>
      <c r="C549" s="8" t="s">
        <v>2102</v>
      </c>
      <c r="D549" s="9" t="s">
        <v>2103</v>
      </c>
      <c r="E549" s="10" t="str">
        <f>HYPERLINK("https://twitter.com/ldpsincomplejos/status/1065596629812678663","1065596629812678663")</f>
        <v>1065596629812678663</v>
      </c>
      <c r="F549" s="11" t="s">
        <v>1998</v>
      </c>
      <c r="G549" s="12"/>
      <c r="H549" s="12"/>
      <c r="I549" s="13">
        <v>282</v>
      </c>
      <c r="J549" s="13">
        <v>473</v>
      </c>
      <c r="K549" s="14" t="str">
        <f t="shared" si="113"/>
        <v>Twitter Web Client</v>
      </c>
      <c r="L549" s="13">
        <v>108175</v>
      </c>
      <c r="M549" s="13">
        <v>2604</v>
      </c>
      <c r="N549" s="13">
        <v>1069</v>
      </c>
      <c r="O549" s="19" t="s">
        <v>74</v>
      </c>
      <c r="P549" s="6">
        <v>40566.402245370373</v>
      </c>
      <c r="Q549" s="17" t="s">
        <v>76</v>
      </c>
      <c r="R549" s="16" t="s">
        <v>2104</v>
      </c>
      <c r="S549" s="11" t="s">
        <v>2105</v>
      </c>
      <c r="T549" s="12"/>
      <c r="U549" s="10" t="str">
        <f>HYPERLINK("https://pbs.twimg.com/profile_images/1007677959245828097/i-2yAFvg.jpg","View")</f>
        <v>View</v>
      </c>
    </row>
    <row r="550" spans="1:21" ht="51">
      <c r="A550" s="6">
        <v>43426.223703703705</v>
      </c>
      <c r="B550" s="7" t="str">
        <f>HYPERLINK("https://twitter.com/AlonsoLanzos","@AlonsoLanzos")</f>
        <v>@AlonsoLanzos</v>
      </c>
      <c r="C550" s="8" t="s">
        <v>2106</v>
      </c>
      <c r="D550" s="9" t="s">
        <v>2107</v>
      </c>
      <c r="E550" s="10" t="str">
        <f>HYPERLINK("https://twitter.com/AlonsoLanzos/status/1065596293328879617","1065596293328879617")</f>
        <v>1065596293328879617</v>
      </c>
      <c r="F550" s="12"/>
      <c r="G550" s="12"/>
      <c r="H550" s="12"/>
      <c r="I550" s="13">
        <v>0</v>
      </c>
      <c r="J550" s="13">
        <v>0</v>
      </c>
      <c r="K550" s="14" t="str">
        <f t="shared" si="113"/>
        <v>Twitter Web Client</v>
      </c>
      <c r="L550" s="13">
        <v>274</v>
      </c>
      <c r="M550" s="13">
        <v>188</v>
      </c>
      <c r="N550" s="13">
        <v>3</v>
      </c>
      <c r="O550" s="15"/>
      <c r="P550" s="6">
        <v>39900.210115740745</v>
      </c>
      <c r="Q550" s="17" t="s">
        <v>1739</v>
      </c>
      <c r="R550" s="16" t="s">
        <v>2108</v>
      </c>
      <c r="S550" s="12"/>
      <c r="T550" s="12"/>
      <c r="U550" s="10" t="str">
        <f>HYPERLINK("https://pbs.twimg.com/profile_images/1060133073000501249/OQt8_-lw.jpg","View")</f>
        <v>View</v>
      </c>
    </row>
    <row r="551" spans="1:21" ht="30.6">
      <c r="A551" s="6">
        <v>43426.223009259258</v>
      </c>
      <c r="B551" s="7" t="str">
        <f>HYPERLINK("https://twitter.com/ConsuG64","@ConsuG64")</f>
        <v>@ConsuG64</v>
      </c>
      <c r="C551" s="8" t="s">
        <v>2109</v>
      </c>
      <c r="D551" s="9" t="s">
        <v>2110</v>
      </c>
      <c r="E551" s="10" t="str">
        <f>HYPERLINK("https://twitter.com/ConsuG64/status/1065596039602847744","1065596039602847744")</f>
        <v>1065596039602847744</v>
      </c>
      <c r="F551" s="11" t="s">
        <v>2111</v>
      </c>
      <c r="G551" s="12"/>
      <c r="H551" s="12"/>
      <c r="I551" s="13">
        <v>0</v>
      </c>
      <c r="J551" s="13">
        <v>0</v>
      </c>
      <c r="K551" s="14" t="str">
        <f t="shared" ref="K551:K553" si="114">HYPERLINK("http://twitter.com/download/iphone","Twitter for iPhone")</f>
        <v>Twitter for iPhone</v>
      </c>
      <c r="L551" s="13">
        <v>2793</v>
      </c>
      <c r="M551" s="13">
        <v>1965</v>
      </c>
      <c r="N551" s="13">
        <v>22</v>
      </c>
      <c r="O551" s="15"/>
      <c r="P551" s="6">
        <v>40612.499768518523</v>
      </c>
      <c r="Q551" s="17" t="s">
        <v>2113</v>
      </c>
      <c r="R551" s="16" t="s">
        <v>2114</v>
      </c>
      <c r="S551" s="11" t="s">
        <v>2115</v>
      </c>
      <c r="T551" s="12"/>
      <c r="U551" s="10" t="str">
        <f>HYPERLINK("https://pbs.twimg.com/profile_images/1054046008735420417/OmdbLQcI.jpg","View")</f>
        <v>View</v>
      </c>
    </row>
    <row r="552" spans="1:21" ht="20.399999999999999">
      <c r="A552" s="6">
        <v>43426.222650462965</v>
      </c>
      <c r="B552" s="7" t="str">
        <f>HYPERLINK("https://twitter.com/Tarkus111","@Tarkus111")</f>
        <v>@Tarkus111</v>
      </c>
      <c r="C552" s="8" t="s">
        <v>2116</v>
      </c>
      <c r="D552" s="9" t="s">
        <v>2117</v>
      </c>
      <c r="E552" s="10" t="str">
        <f>HYPERLINK("https://twitter.com/Tarkus111/status/1065595911433306113","1065595911433306113")</f>
        <v>1065595911433306113</v>
      </c>
      <c r="F552" s="11" t="s">
        <v>2118</v>
      </c>
      <c r="G552" s="12"/>
      <c r="H552" s="12"/>
      <c r="I552" s="13">
        <v>0</v>
      </c>
      <c r="J552" s="13">
        <v>0</v>
      </c>
      <c r="K552" s="14" t="str">
        <f t="shared" si="114"/>
        <v>Twitter for iPhone</v>
      </c>
      <c r="L552" s="13">
        <v>1165</v>
      </c>
      <c r="M552" s="13">
        <v>1612</v>
      </c>
      <c r="N552" s="13">
        <v>1</v>
      </c>
      <c r="O552" s="15"/>
      <c r="P552" s="6">
        <v>40756.856400462959</v>
      </c>
      <c r="Q552" s="17" t="s">
        <v>76</v>
      </c>
      <c r="R552" s="16" t="s">
        <v>2119</v>
      </c>
      <c r="S552" s="12"/>
      <c r="T552" s="12"/>
      <c r="U552" s="10" t="str">
        <f>HYPERLINK("https://pbs.twimg.com/profile_images/1058336900501639169/xXf-URVH.jpg","View")</f>
        <v>View</v>
      </c>
    </row>
    <row r="553" spans="1:21" ht="112.2">
      <c r="A553" s="6">
        <v>43426.221817129626</v>
      </c>
      <c r="B553" s="7" t="str">
        <f>HYPERLINK("https://twitter.com/Jrmgonzalez","@Jrmgonzalez")</f>
        <v>@Jrmgonzalez</v>
      </c>
      <c r="C553" s="8" t="s">
        <v>986</v>
      </c>
      <c r="D553" s="9" t="s">
        <v>1730</v>
      </c>
      <c r="E553" s="10" t="str">
        <f>HYPERLINK("https://twitter.com/Jrmgonzalez/status/1065595610185834496","1065595610185834496")</f>
        <v>1065595610185834496</v>
      </c>
      <c r="F553" s="17" t="s">
        <v>1731</v>
      </c>
      <c r="G553" s="12"/>
      <c r="H553" s="12"/>
      <c r="I553" s="13">
        <v>1</v>
      </c>
      <c r="J553" s="13">
        <v>3</v>
      </c>
      <c r="K553" s="14" t="str">
        <f t="shared" si="114"/>
        <v>Twitter for iPhone</v>
      </c>
      <c r="L553" s="13">
        <v>32</v>
      </c>
      <c r="M553" s="13">
        <v>265</v>
      </c>
      <c r="N553" s="13">
        <v>2</v>
      </c>
      <c r="O553" s="15"/>
      <c r="P553" s="6">
        <v>41696.188379629632</v>
      </c>
      <c r="Q553" s="17" t="s">
        <v>991</v>
      </c>
      <c r="R553" s="16" t="s">
        <v>992</v>
      </c>
      <c r="S553" s="12"/>
      <c r="T553" s="12"/>
      <c r="U553" s="10" t="str">
        <f>HYPERLINK("https://pbs.twimg.com/profile_images/951188977960222721/P3ZmIVlt.jpg","View")</f>
        <v>View</v>
      </c>
    </row>
    <row r="554" spans="1:21" ht="30.6">
      <c r="A554" s="6">
        <v>43426.221689814818</v>
      </c>
      <c r="B554" s="7" t="str">
        <f>HYPERLINK("https://twitter.com/ElHuffPost","@ElHuffPost")</f>
        <v>@ElHuffPost</v>
      </c>
      <c r="C554" s="8" t="s">
        <v>467</v>
      </c>
      <c r="D554" s="9" t="s">
        <v>468</v>
      </c>
      <c r="E554" s="10" t="str">
        <f>HYPERLINK("https://twitter.com/ElHuffPost/status/1065595563649966083","1065595563649966083")</f>
        <v>1065595563649966083</v>
      </c>
      <c r="F554" s="11" t="s">
        <v>469</v>
      </c>
      <c r="G554" s="11" t="s">
        <v>2120</v>
      </c>
      <c r="H554" s="12"/>
      <c r="I554" s="13">
        <v>1</v>
      </c>
      <c r="J554" s="13">
        <v>2</v>
      </c>
      <c r="K554" s="14" t="str">
        <f>HYPERLINK("http://twitter.com","Twitter Web Client")</f>
        <v>Twitter Web Client</v>
      </c>
      <c r="L554" s="13">
        <v>430323</v>
      </c>
      <c r="M554" s="13">
        <v>1532</v>
      </c>
      <c r="N554" s="13">
        <v>8186</v>
      </c>
      <c r="O554" s="19" t="s">
        <v>74</v>
      </c>
      <c r="P554" s="6">
        <v>40784.652118055557</v>
      </c>
      <c r="Q554" s="17" t="s">
        <v>203</v>
      </c>
      <c r="R554" s="16" t="s">
        <v>471</v>
      </c>
      <c r="S554" s="11" t="s">
        <v>472</v>
      </c>
      <c r="T554" s="12"/>
      <c r="U554" s="10" t="str">
        <f>HYPERLINK("https://pbs.twimg.com/profile_images/921140803422089217/ETOEUOAx.jpg","View")</f>
        <v>View</v>
      </c>
    </row>
    <row r="555" spans="1:21" ht="30.6">
      <c r="A555" s="6">
        <v>43426.219363425931</v>
      </c>
      <c r="B555" s="7" t="str">
        <f>HYPERLINK("https://twitter.com/Josegonsan","@Josegonsan")</f>
        <v>@Josegonsan</v>
      </c>
      <c r="C555" s="8" t="s">
        <v>198</v>
      </c>
      <c r="D555" s="9" t="s">
        <v>2122</v>
      </c>
      <c r="E555" s="10" t="str">
        <f>HYPERLINK("https://twitter.com/Josegonsan/status/1065594720523624448","1065594720523624448")</f>
        <v>1065594720523624448</v>
      </c>
      <c r="F555" s="12"/>
      <c r="G555" s="12"/>
      <c r="H555" s="12"/>
      <c r="I555" s="13">
        <v>0</v>
      </c>
      <c r="J555" s="13">
        <v>0</v>
      </c>
      <c r="K555" s="14" t="str">
        <f t="shared" ref="K555:K558" si="115">HYPERLINK("http://twitter.com/download/android","Twitter for Android")</f>
        <v>Twitter for Android</v>
      </c>
      <c r="L555" s="13">
        <v>23</v>
      </c>
      <c r="M555" s="13">
        <v>117</v>
      </c>
      <c r="N555" s="13">
        <v>0</v>
      </c>
      <c r="O555" s="15"/>
      <c r="P555" s="6">
        <v>42171.228854166664</v>
      </c>
      <c r="Q555" s="17" t="s">
        <v>200</v>
      </c>
      <c r="R555" s="18"/>
      <c r="S555" s="12"/>
      <c r="T555" s="12"/>
      <c r="U555" s="10" t="str">
        <f>HYPERLINK("https://pbs.twimg.com/profile_images/613410644201721857/9uDgGBog.jpg","View")</f>
        <v>View</v>
      </c>
    </row>
    <row r="556" spans="1:21" ht="40.799999999999997">
      <c r="A556" s="6">
        <v>43426.216724537036</v>
      </c>
      <c r="B556" s="7" t="str">
        <f>HYPERLINK("https://twitter.com/Pirawe","@Pirawe")</f>
        <v>@Pirawe</v>
      </c>
      <c r="C556" s="8" t="s">
        <v>2126</v>
      </c>
      <c r="D556" s="9" t="s">
        <v>2127</v>
      </c>
      <c r="E556" s="10" t="str">
        <f>HYPERLINK("https://twitter.com/Pirawe/status/1065593764419420160","1065593764419420160")</f>
        <v>1065593764419420160</v>
      </c>
      <c r="F556" s="11" t="s">
        <v>292</v>
      </c>
      <c r="G556" s="12"/>
      <c r="H556" s="12"/>
      <c r="I556" s="13">
        <v>0</v>
      </c>
      <c r="J556" s="13">
        <v>0</v>
      </c>
      <c r="K556" s="14" t="str">
        <f t="shared" si="115"/>
        <v>Twitter for Android</v>
      </c>
      <c r="L556" s="13">
        <v>1612</v>
      </c>
      <c r="M556" s="13">
        <v>658</v>
      </c>
      <c r="N556" s="13">
        <v>32</v>
      </c>
      <c r="O556" s="15"/>
      <c r="P556" s="6">
        <v>40475.386979166666</v>
      </c>
      <c r="Q556" s="17" t="s">
        <v>76</v>
      </c>
      <c r="R556" s="16" t="s">
        <v>2128</v>
      </c>
      <c r="S556" s="11" t="s">
        <v>2129</v>
      </c>
      <c r="T556" s="12"/>
      <c r="U556" s="10" t="str">
        <f>HYPERLINK("https://pbs.twimg.com/profile_images/1055407628866719744/N4u--KRa.jpg","View")</f>
        <v>View</v>
      </c>
    </row>
    <row r="557" spans="1:21" ht="40.799999999999997">
      <c r="A557" s="6">
        <v>43426.214837962965</v>
      </c>
      <c r="B557" s="7" t="str">
        <f>HYPERLINK("https://twitter.com/compromtido22","@compromtido22")</f>
        <v>@compromtido22</v>
      </c>
      <c r="C557" s="8" t="s">
        <v>1471</v>
      </c>
      <c r="D557" s="9" t="s">
        <v>2130</v>
      </c>
      <c r="E557" s="10" t="str">
        <f>HYPERLINK("https://twitter.com/compromtido22/status/1065593079778996224","1065593079778996224")</f>
        <v>1065593079778996224</v>
      </c>
      <c r="F557" s="12"/>
      <c r="G557" s="12"/>
      <c r="H557" s="12"/>
      <c r="I557" s="13">
        <v>0</v>
      </c>
      <c r="J557" s="13">
        <v>0</v>
      </c>
      <c r="K557" s="14" t="str">
        <f t="shared" si="115"/>
        <v>Twitter for Android</v>
      </c>
      <c r="L557" s="13">
        <v>962</v>
      </c>
      <c r="M557" s="13">
        <v>859</v>
      </c>
      <c r="N557" s="13">
        <v>15</v>
      </c>
      <c r="O557" s="15"/>
      <c r="P557" s="6">
        <v>42411.457291666666</v>
      </c>
      <c r="Q557" s="12"/>
      <c r="R557" s="16" t="s">
        <v>1474</v>
      </c>
      <c r="S557" s="12"/>
      <c r="T557" s="12"/>
      <c r="U557" s="10" t="str">
        <f>HYPERLINK("https://pbs.twimg.com/profile_images/1062806370267860993/RfSkyzB-.jpg","View")</f>
        <v>View</v>
      </c>
    </row>
    <row r="558" spans="1:21" ht="51">
      <c r="A558" s="6">
        <v>43426.214097222226</v>
      </c>
      <c r="B558" s="7" t="str">
        <f>HYPERLINK("https://twitter.com/JessJim97874304","@JessJim97874304")</f>
        <v>@JessJim97874304</v>
      </c>
      <c r="C558" s="8" t="s">
        <v>2131</v>
      </c>
      <c r="D558" s="9" t="s">
        <v>2132</v>
      </c>
      <c r="E558" s="10" t="str">
        <f>HYPERLINK("https://twitter.com/JessJim97874304/status/1065592808738836480","1065592808738836480")</f>
        <v>1065592808738836480</v>
      </c>
      <c r="F558" s="11" t="s">
        <v>1927</v>
      </c>
      <c r="G558" s="12"/>
      <c r="H558" s="12"/>
      <c r="I558" s="13">
        <v>0</v>
      </c>
      <c r="J558" s="13">
        <v>0</v>
      </c>
      <c r="K558" s="14" t="str">
        <f t="shared" si="115"/>
        <v>Twitter for Android</v>
      </c>
      <c r="L558" s="13">
        <v>91</v>
      </c>
      <c r="M558" s="13">
        <v>270</v>
      </c>
      <c r="N558" s="13">
        <v>2</v>
      </c>
      <c r="O558" s="15"/>
      <c r="P558" s="6">
        <v>42382.449212962965</v>
      </c>
      <c r="Q558" s="12"/>
      <c r="R558" s="18"/>
      <c r="S558" s="12"/>
      <c r="T558" s="12"/>
      <c r="U558" s="10" t="str">
        <f>HYPERLINK("https://pbs.twimg.com/profile_images/881841728696836097/D21xUwT0.jpg","View")</f>
        <v>View</v>
      </c>
    </row>
    <row r="559" spans="1:21" ht="51">
      <c r="A559" s="6">
        <v>43426.210752314815</v>
      </c>
      <c r="B559" s="7" t="str">
        <f>HYPERLINK("https://twitter.com/Abogado_WTorres","@Abogado_WTorres")</f>
        <v>@Abogado_WTorres</v>
      </c>
      <c r="C559" s="8" t="s">
        <v>2051</v>
      </c>
      <c r="D559" s="9" t="s">
        <v>2052</v>
      </c>
      <c r="E559" s="10" t="str">
        <f>HYPERLINK("https://twitter.com/Abogado_WTorres/status/1065591599558787073","1065591599558787073")</f>
        <v>1065591599558787073</v>
      </c>
      <c r="F559" s="11" t="s">
        <v>2133</v>
      </c>
      <c r="G559" s="12"/>
      <c r="H559" s="12"/>
      <c r="I559" s="13">
        <v>0</v>
      </c>
      <c r="J559" s="13">
        <v>0</v>
      </c>
      <c r="K559" s="14" t="str">
        <f>HYPERLINK("http://www.facebook.com/twitter","Facebook")</f>
        <v>Facebook</v>
      </c>
      <c r="L559" s="13">
        <v>350</v>
      </c>
      <c r="M559" s="13">
        <v>395</v>
      </c>
      <c r="N559" s="13">
        <v>1</v>
      </c>
      <c r="O559" s="15"/>
      <c r="P559" s="6">
        <v>40983.019050925926</v>
      </c>
      <c r="Q559" s="17" t="s">
        <v>29</v>
      </c>
      <c r="R559" s="16" t="s">
        <v>2054</v>
      </c>
      <c r="S559" s="12"/>
      <c r="T559" s="12"/>
      <c r="U559" s="10" t="str">
        <f>HYPERLINK("https://pbs.twimg.com/profile_images/712090737442217984/fi60dQ-V.jpg","View")</f>
        <v>View</v>
      </c>
    </row>
    <row r="560" spans="1:21" ht="40.799999999999997">
      <c r="A560" s="6">
        <v>43426.209062499998</v>
      </c>
      <c r="B560" s="7" t="str">
        <f>HYPERLINK("https://twitter.com/Cambio16","@Cambio16")</f>
        <v>@Cambio16</v>
      </c>
      <c r="C560" s="8" t="s">
        <v>953</v>
      </c>
      <c r="D560" s="9" t="s">
        <v>2134</v>
      </c>
      <c r="E560" s="10" t="str">
        <f>HYPERLINK("https://twitter.com/Cambio16/status/1065590985114161153","1065590985114161153")</f>
        <v>1065590985114161153</v>
      </c>
      <c r="F560" s="11" t="s">
        <v>2135</v>
      </c>
      <c r="G560" s="11" t="s">
        <v>2136</v>
      </c>
      <c r="H560" s="12"/>
      <c r="I560" s="13">
        <v>5</v>
      </c>
      <c r="J560" s="13">
        <v>3</v>
      </c>
      <c r="K560" s="14" t="str">
        <f>HYPERLINK("https://www.hootsuite.com","Hootsuite Inc.")</f>
        <v>Hootsuite Inc.</v>
      </c>
      <c r="L560" s="13">
        <v>17345</v>
      </c>
      <c r="M560" s="13">
        <v>765</v>
      </c>
      <c r="N560" s="13">
        <v>499</v>
      </c>
      <c r="O560" s="15"/>
      <c r="P560" s="6">
        <v>40341.117245370369</v>
      </c>
      <c r="Q560" s="17" t="s">
        <v>143</v>
      </c>
      <c r="R560" s="16" t="s">
        <v>958</v>
      </c>
      <c r="S560" s="11" t="s">
        <v>959</v>
      </c>
      <c r="T560" s="12"/>
      <c r="U560" s="10" t="str">
        <f>HYPERLINK("https://pbs.twimg.com/profile_images/1060221846208069632/vJfJ3_T5.jpg","View")</f>
        <v>View</v>
      </c>
    </row>
    <row r="561" spans="1:21" ht="40.799999999999997">
      <c r="A561" s="6">
        <v>43426.208136574074</v>
      </c>
      <c r="B561" s="7" t="str">
        <f>HYPERLINK("https://twitter.com/LGTBNews","@LGTBNews")</f>
        <v>@LGTBNews</v>
      </c>
      <c r="C561" s="8" t="s">
        <v>1772</v>
      </c>
      <c r="D561" s="9" t="s">
        <v>1773</v>
      </c>
      <c r="E561" s="10" t="str">
        <f>HYPERLINK("https://twitter.com/LGTBNews/status/1065590652589740032","1065590652589740032")</f>
        <v>1065590652589740032</v>
      </c>
      <c r="F561" s="11" t="s">
        <v>1774</v>
      </c>
      <c r="G561" s="11" t="s">
        <v>1775</v>
      </c>
      <c r="H561" s="12"/>
      <c r="I561" s="13">
        <v>0</v>
      </c>
      <c r="J561" s="13">
        <v>1</v>
      </c>
      <c r="K561" s="14" t="str">
        <f>HYPERLINK("https://about.twitter.com/products/tweetdeck","TweetDeck")</f>
        <v>TweetDeck</v>
      </c>
      <c r="L561" s="13">
        <v>35513</v>
      </c>
      <c r="M561" s="13">
        <v>4197</v>
      </c>
      <c r="N561" s="13">
        <v>424</v>
      </c>
      <c r="O561" s="15"/>
      <c r="P561" s="6">
        <v>40523.396608796298</v>
      </c>
      <c r="Q561" s="17" t="s">
        <v>1778</v>
      </c>
      <c r="R561" s="16" t="s">
        <v>1779</v>
      </c>
      <c r="S561" s="12"/>
      <c r="T561" s="12"/>
      <c r="U561" s="10" t="str">
        <f>HYPERLINK("https://pbs.twimg.com/profile_images/747825934791770112/p_YZHwhX.jpg","View")</f>
        <v>View</v>
      </c>
    </row>
    <row r="562" spans="1:21" ht="30.6">
      <c r="A562" s="6">
        <v>43426.208032407405</v>
      </c>
      <c r="B562" s="7" t="str">
        <f>HYPERLINK("https://twitter.com/keionarabia","@keionarabia")</f>
        <v>@keionarabia</v>
      </c>
      <c r="C562" s="8" t="s">
        <v>2140</v>
      </c>
      <c r="D562" s="9" t="s">
        <v>2141</v>
      </c>
      <c r="E562" s="10" t="str">
        <f>HYPERLINK("https://twitter.com/keionarabia/status/1065590612970414080","1065590612970414080")</f>
        <v>1065590612970414080</v>
      </c>
      <c r="F562" s="11" t="s">
        <v>2142</v>
      </c>
      <c r="G562" s="12"/>
      <c r="H562" s="12"/>
      <c r="I562" s="13">
        <v>0</v>
      </c>
      <c r="J562" s="13">
        <v>7</v>
      </c>
      <c r="K562" s="14" t="str">
        <f>HYPERLINK("https://curiouscat.me","Curious Cat")</f>
        <v>Curious Cat</v>
      </c>
      <c r="L562" s="13">
        <v>202</v>
      </c>
      <c r="M562" s="13">
        <v>120</v>
      </c>
      <c r="N562" s="13">
        <v>2</v>
      </c>
      <c r="O562" s="15"/>
      <c r="P562" s="6">
        <v>42145.362326388888</v>
      </c>
      <c r="Q562" s="12"/>
      <c r="R562" s="16" t="s">
        <v>2143</v>
      </c>
      <c r="S562" s="11" t="s">
        <v>2144</v>
      </c>
      <c r="T562" s="12"/>
      <c r="U562" s="10" t="str">
        <f>HYPERLINK("https://pbs.twimg.com/profile_images/1065001606566039552/x5gGwxqu.jpg","View")</f>
        <v>View</v>
      </c>
    </row>
    <row r="563" spans="1:21" ht="30.6">
      <c r="A563" s="6">
        <v>43426.207141203704</v>
      </c>
      <c r="B563" s="7" t="str">
        <f>HYPERLINK("https://twitter.com/NouSoc","@NouSoc")</f>
        <v>@NouSoc</v>
      </c>
      <c r="C563" s="8" t="s">
        <v>2145</v>
      </c>
      <c r="D563" s="9" t="s">
        <v>509</v>
      </c>
      <c r="E563" s="10" t="str">
        <f>HYPERLINK("https://twitter.com/NouSoc/status/1065590288259919872","1065590288259919872")</f>
        <v>1065590288259919872</v>
      </c>
      <c r="F563" s="11" t="s">
        <v>292</v>
      </c>
      <c r="G563" s="12"/>
      <c r="H563" s="12"/>
      <c r="I563" s="13">
        <v>0</v>
      </c>
      <c r="J563" s="13">
        <v>0</v>
      </c>
      <c r="K563" s="14" t="str">
        <f t="shared" ref="K563:K564" si="116">HYPERLINK("http://twitter.com","Twitter Web Client")</f>
        <v>Twitter Web Client</v>
      </c>
      <c r="L563" s="13">
        <v>173</v>
      </c>
      <c r="M563" s="13">
        <v>429</v>
      </c>
      <c r="N563" s="13">
        <v>0</v>
      </c>
      <c r="O563" s="15"/>
      <c r="P563" s="6">
        <v>43246.090868055559</v>
      </c>
      <c r="Q563" s="12"/>
      <c r="R563" s="18"/>
      <c r="S563" s="12"/>
      <c r="T563" s="12"/>
      <c r="U563" s="10" t="str">
        <f>HYPERLINK("https://pbs.twimg.com/profile_images/1039940259142877184/fXAs-2LW.jpg","View")</f>
        <v>View</v>
      </c>
    </row>
    <row r="564" spans="1:21" ht="51">
      <c r="A564" s="6">
        <v>43426.206979166665</v>
      </c>
      <c r="B564" s="7" t="str">
        <f>HYPERLINK("https://twitter.com/erruberas","@erruberas")</f>
        <v>@erruberas</v>
      </c>
      <c r="C564" s="8" t="s">
        <v>2146</v>
      </c>
      <c r="D564" s="9" t="s">
        <v>2147</v>
      </c>
      <c r="E564" s="10" t="str">
        <f>HYPERLINK("https://twitter.com/erruberas/status/1065590232635113472","1065590232635113472")</f>
        <v>1065590232635113472</v>
      </c>
      <c r="F564" s="11" t="s">
        <v>267</v>
      </c>
      <c r="G564" s="12"/>
      <c r="H564" s="12"/>
      <c r="I564" s="13">
        <v>2</v>
      </c>
      <c r="J564" s="13">
        <v>1</v>
      </c>
      <c r="K564" s="14" t="str">
        <f t="shared" si="116"/>
        <v>Twitter Web Client</v>
      </c>
      <c r="L564" s="13">
        <v>100</v>
      </c>
      <c r="M564" s="13">
        <v>94</v>
      </c>
      <c r="N564" s="13">
        <v>1</v>
      </c>
      <c r="O564" s="15"/>
      <c r="P564" s="6">
        <v>40993.451921296299</v>
      </c>
      <c r="Q564" s="17" t="s">
        <v>2148</v>
      </c>
      <c r="R564" s="16" t="s">
        <v>2149</v>
      </c>
      <c r="S564" s="12"/>
      <c r="T564" s="12"/>
      <c r="U564" s="10" t="str">
        <f>HYPERLINK("https://pbs.twimg.com/profile_images/378800000143016115/8a64a81b5e91e0859b2f6a6b373c62a2.jpeg","View")</f>
        <v>View</v>
      </c>
    </row>
    <row r="565" spans="1:21" ht="40.799999999999997">
      <c r="A565" s="6">
        <v>43426.203472222223</v>
      </c>
      <c r="B565" s="7" t="str">
        <f>HYPERLINK("https://twitter.com/CongresoSEMI","@CongresoSEMI")</f>
        <v>@CongresoSEMI</v>
      </c>
      <c r="C565" s="8" t="s">
        <v>2150</v>
      </c>
      <c r="D565" s="9" t="s">
        <v>2151</v>
      </c>
      <c r="E565" s="10" t="str">
        <f>HYPERLINK("https://twitter.com/CongresoSEMI/status/1065588959789625344","1065588959789625344")</f>
        <v>1065588959789625344</v>
      </c>
      <c r="F565" s="12"/>
      <c r="G565" s="11" t="s">
        <v>2152</v>
      </c>
      <c r="H565" s="12"/>
      <c r="I565" s="13">
        <v>1</v>
      </c>
      <c r="J565" s="13">
        <v>0</v>
      </c>
      <c r="K565" s="14" t="str">
        <f>HYPERLINK("https://about.twitter.com/products/tweetdeck","TweetDeck")</f>
        <v>TweetDeck</v>
      </c>
      <c r="L565" s="13">
        <v>1167</v>
      </c>
      <c r="M565" s="13">
        <v>251</v>
      </c>
      <c r="N565" s="13">
        <v>30</v>
      </c>
      <c r="O565" s="15"/>
      <c r="P565" s="6">
        <v>41445.358611111107</v>
      </c>
      <c r="Q565" s="12"/>
      <c r="R565" s="16" t="s">
        <v>2153</v>
      </c>
      <c r="S565" s="11" t="s">
        <v>2154</v>
      </c>
      <c r="T565" s="12"/>
      <c r="U565" s="10" t="str">
        <f>HYPERLINK("https://pbs.twimg.com/profile_images/1060105611520733186/Dcy4npsA.jpg","View")</f>
        <v>View</v>
      </c>
    </row>
    <row r="566" spans="1:21" ht="51">
      <c r="A566" s="6">
        <v>43426.203101851846</v>
      </c>
      <c r="B566" s="7" t="str">
        <f>HYPERLINK("https://twitter.com/Abogado_WTorres","@Abogado_WTorres")</f>
        <v>@Abogado_WTorres</v>
      </c>
      <c r="C566" s="8" t="s">
        <v>2051</v>
      </c>
      <c r="D566" s="9" t="s">
        <v>2052</v>
      </c>
      <c r="E566" s="10" t="str">
        <f>HYPERLINK("https://twitter.com/Abogado_WTorres/status/1065588825894739969","1065588825894739969")</f>
        <v>1065588825894739969</v>
      </c>
      <c r="F566" s="11" t="s">
        <v>2156</v>
      </c>
      <c r="G566" s="12"/>
      <c r="H566" s="12"/>
      <c r="I566" s="13">
        <v>0</v>
      </c>
      <c r="J566" s="13">
        <v>0</v>
      </c>
      <c r="K566" s="14" t="str">
        <f>HYPERLINK("http://www.facebook.com/twitter","Facebook")</f>
        <v>Facebook</v>
      </c>
      <c r="L566" s="13">
        <v>350</v>
      </c>
      <c r="M566" s="13">
        <v>395</v>
      </c>
      <c r="N566" s="13">
        <v>1</v>
      </c>
      <c r="O566" s="15"/>
      <c r="P566" s="6">
        <v>40983.019050925926</v>
      </c>
      <c r="Q566" s="17" t="s">
        <v>29</v>
      </c>
      <c r="R566" s="16" t="s">
        <v>2054</v>
      </c>
      <c r="S566" s="12"/>
      <c r="T566" s="12"/>
      <c r="U566" s="10" t="str">
        <f>HYPERLINK("https://pbs.twimg.com/profile_images/712090737442217984/fi60dQ-V.jpg","View")</f>
        <v>View</v>
      </c>
    </row>
    <row r="567" spans="1:21" ht="40.799999999999997">
      <c r="A567" s="6">
        <v>43426.201724537037</v>
      </c>
      <c r="B567" s="7" t="str">
        <f>HYPERLINK("https://twitter.com/tio_chabo","@tio_chabo")</f>
        <v>@tio_chabo</v>
      </c>
      <c r="C567" s="8" t="s">
        <v>2157</v>
      </c>
      <c r="D567" s="9" t="s">
        <v>1328</v>
      </c>
      <c r="E567" s="10" t="str">
        <f>HYPERLINK("https://twitter.com/tio_chabo/status/1065588329108963328","1065588329108963328")</f>
        <v>1065588329108963328</v>
      </c>
      <c r="F567" s="11" t="s">
        <v>2158</v>
      </c>
      <c r="G567" s="12"/>
      <c r="H567" s="12"/>
      <c r="I567" s="13">
        <v>0</v>
      </c>
      <c r="J567" s="13">
        <v>0</v>
      </c>
      <c r="K567" s="14" t="str">
        <f>HYPERLINK("https://ifttt.com","IFTTT")</f>
        <v>IFTTT</v>
      </c>
      <c r="L567" s="13">
        <v>3113</v>
      </c>
      <c r="M567" s="13">
        <v>3718</v>
      </c>
      <c r="N567" s="13">
        <v>68</v>
      </c>
      <c r="O567" s="15"/>
      <c r="P567" s="6">
        <v>40964.394629629627</v>
      </c>
      <c r="Q567" s="17" t="s">
        <v>2159</v>
      </c>
      <c r="R567" s="16" t="s">
        <v>2160</v>
      </c>
      <c r="S567" s="11" t="s">
        <v>2161</v>
      </c>
      <c r="T567" s="12"/>
      <c r="U567" s="10" t="str">
        <f>HYPERLINK("https://pbs.twimg.com/profile_images/837040061870833666/XUkKbbB4.jpg","View")</f>
        <v>View</v>
      </c>
    </row>
    <row r="568" spans="1:21" ht="40.799999999999997">
      <c r="A568" s="6">
        <v>43426.201006944444</v>
      </c>
      <c r="B568" s="7" t="str">
        <f>HYPERLINK("https://twitter.com/EnneDantas","@EnneDantas")</f>
        <v>@EnneDantas</v>
      </c>
      <c r="C568" s="8" t="s">
        <v>2162</v>
      </c>
      <c r="D568" s="9" t="s">
        <v>2163</v>
      </c>
      <c r="E568" s="10" t="str">
        <f>HYPERLINK("https://twitter.com/EnneDantas/status/1065588067849957376","1065588067849957376")</f>
        <v>1065588067849957376</v>
      </c>
      <c r="F568" s="12"/>
      <c r="G568" s="12"/>
      <c r="H568" s="12"/>
      <c r="I568" s="13">
        <v>0</v>
      </c>
      <c r="J568" s="13">
        <v>0</v>
      </c>
      <c r="K568" s="14" t="str">
        <f>HYPERLINK("http://twitter.com","Twitter Web Client")</f>
        <v>Twitter Web Client</v>
      </c>
      <c r="L568" s="13">
        <v>6371</v>
      </c>
      <c r="M568" s="13">
        <v>5989</v>
      </c>
      <c r="N568" s="13">
        <v>33</v>
      </c>
      <c r="O568" s="15"/>
      <c r="P568" s="6">
        <v>40688.747777777782</v>
      </c>
      <c r="Q568" s="17" t="s">
        <v>1751</v>
      </c>
      <c r="R568" s="16" t="s">
        <v>2164</v>
      </c>
      <c r="S568" s="12"/>
      <c r="T568" s="12"/>
      <c r="U568" s="10" t="str">
        <f>HYPERLINK("https://pbs.twimg.com/profile_images/1470198974/MINI_PERFIL.jpg","View")</f>
        <v>View</v>
      </c>
    </row>
    <row r="569" spans="1:21" ht="40.799999999999997">
      <c r="A569" s="6">
        <v>43426.198067129633</v>
      </c>
      <c r="B569" s="7" t="str">
        <f>HYPERLINK("https://twitter.com/VictorLeonardi2","@VictorLeonardi2")</f>
        <v>@VictorLeonardi2</v>
      </c>
      <c r="C569" s="8" t="s">
        <v>2165</v>
      </c>
      <c r="D569" s="9" t="s">
        <v>2166</v>
      </c>
      <c r="E569" s="10" t="str">
        <f>HYPERLINK("https://twitter.com/VictorLeonardi2/status/1065586999703285761","1065586999703285761")</f>
        <v>1065586999703285761</v>
      </c>
      <c r="F569" s="11" t="s">
        <v>292</v>
      </c>
      <c r="G569" s="12"/>
      <c r="H569" s="12"/>
      <c r="I569" s="13">
        <v>1</v>
      </c>
      <c r="J569" s="13">
        <v>2</v>
      </c>
      <c r="K569" s="14" t="str">
        <f>HYPERLINK("http://twitter.com/download/android","Twitter for Android")</f>
        <v>Twitter for Android</v>
      </c>
      <c r="L569" s="13">
        <v>773</v>
      </c>
      <c r="M569" s="13">
        <v>605</v>
      </c>
      <c r="N569" s="13">
        <v>18</v>
      </c>
      <c r="O569" s="15"/>
      <c r="P569" s="6">
        <v>42313.935127314813</v>
      </c>
      <c r="Q569" s="17" t="s">
        <v>2167</v>
      </c>
      <c r="R569" s="16" t="s">
        <v>2168</v>
      </c>
      <c r="S569" s="11" t="s">
        <v>2169</v>
      </c>
      <c r="T569" s="12"/>
      <c r="U569" s="10" t="str">
        <f>HYPERLINK("https://pbs.twimg.com/profile_images/1050797644635938818/bECQOCTO.jpg","View")</f>
        <v>View</v>
      </c>
    </row>
    <row r="570" spans="1:21" ht="20.399999999999999">
      <c r="A570" s="6">
        <v>43426.197916666672</v>
      </c>
      <c r="B570" s="7" t="str">
        <f>HYPERLINK("https://twitter.com/La_SER","@La_SER")</f>
        <v>@La_SER</v>
      </c>
      <c r="C570" s="8" t="s">
        <v>2170</v>
      </c>
      <c r="D570" s="9" t="s">
        <v>2171</v>
      </c>
      <c r="E570" s="10" t="str">
        <f>HYPERLINK("https://twitter.com/La_SER/status/1065586946737487873","1065586946737487873")</f>
        <v>1065586946737487873</v>
      </c>
      <c r="F570" s="11" t="s">
        <v>2172</v>
      </c>
      <c r="G570" s="12"/>
      <c r="H570" s="12"/>
      <c r="I570" s="13">
        <v>0</v>
      </c>
      <c r="J570" s="13">
        <v>1</v>
      </c>
      <c r="K570" s="14" t="str">
        <f>HYPERLINK("https://about.twitter.com/products/tweetdeck","TweetDeck")</f>
        <v>TweetDeck</v>
      </c>
      <c r="L570" s="13">
        <v>1152495</v>
      </c>
      <c r="M570" s="13">
        <v>778</v>
      </c>
      <c r="N570" s="13">
        <v>10623</v>
      </c>
      <c r="O570" s="19" t="s">
        <v>74</v>
      </c>
      <c r="P570" s="6">
        <v>39965.379942129628</v>
      </c>
      <c r="Q570" s="12"/>
      <c r="R570" s="16" t="s">
        <v>2173</v>
      </c>
      <c r="S570" s="11" t="s">
        <v>2174</v>
      </c>
      <c r="T570" s="12"/>
      <c r="U570" s="10" t="str">
        <f>HYPERLINK("https://pbs.twimg.com/profile_images/1039929065774481409/zsYMDMZj.jpg","View")</f>
        <v>View</v>
      </c>
    </row>
    <row r="571" spans="1:21" ht="40.799999999999997">
      <c r="A571" s="6">
        <v>43426.197534722218</v>
      </c>
      <c r="B571" s="7" t="str">
        <f>HYPERLINK("https://twitter.com/AuryPineapple","@AuryPineapple")</f>
        <v>@AuryPineapple</v>
      </c>
      <c r="C571" s="8" t="s">
        <v>2175</v>
      </c>
      <c r="D571" s="9" t="s">
        <v>2176</v>
      </c>
      <c r="E571" s="10" t="str">
        <f>HYPERLINK("https://twitter.com/AuryPineapple/status/1065586810464677888","1065586810464677888")</f>
        <v>1065586810464677888</v>
      </c>
      <c r="F571" s="11" t="s">
        <v>1881</v>
      </c>
      <c r="G571" s="12"/>
      <c r="H571" s="12"/>
      <c r="I571" s="13">
        <v>0</v>
      </c>
      <c r="J571" s="13">
        <v>0</v>
      </c>
      <c r="K571" s="14" t="str">
        <f>HYPERLINK("http://twitter.com/download/iphone","Twitter for iPhone")</f>
        <v>Twitter for iPhone</v>
      </c>
      <c r="L571" s="13">
        <v>1649</v>
      </c>
      <c r="M571" s="13">
        <v>296</v>
      </c>
      <c r="N571" s="13">
        <v>45</v>
      </c>
      <c r="O571" s="15"/>
      <c r="P571" s="6">
        <v>40653.615219907406</v>
      </c>
      <c r="Q571" s="17" t="s">
        <v>2179</v>
      </c>
      <c r="R571" s="16" t="s">
        <v>2180</v>
      </c>
      <c r="S571" s="12"/>
      <c r="T571" s="12"/>
      <c r="U571" s="10" t="str">
        <f>HYPERLINK("https://pbs.twimg.com/profile_images/990672457047728134/lu3adDaR.jpg","View")</f>
        <v>View</v>
      </c>
    </row>
    <row r="572" spans="1:21" ht="40.799999999999997">
      <c r="A572" s="6">
        <v>43426.196446759262</v>
      </c>
      <c r="B572" s="7" t="str">
        <f>HYPERLINK("https://twitter.com/carlos260466","@carlos260466")</f>
        <v>@carlos260466</v>
      </c>
      <c r="C572" s="8" t="s">
        <v>2181</v>
      </c>
      <c r="D572" s="9" t="s">
        <v>2182</v>
      </c>
      <c r="E572" s="10" t="str">
        <f>HYPERLINK("https://twitter.com/carlos260466/status/1065586416363671552","1065586416363671552")</f>
        <v>1065586416363671552</v>
      </c>
      <c r="F572" s="11" t="s">
        <v>962</v>
      </c>
      <c r="G572" s="12"/>
      <c r="H572" s="12"/>
      <c r="I572" s="13">
        <v>0</v>
      </c>
      <c r="J572" s="13">
        <v>0</v>
      </c>
      <c r="K572" s="14" t="str">
        <f>HYPERLINK("http://www.facebook.com/twitter","Facebook")</f>
        <v>Facebook</v>
      </c>
      <c r="L572" s="13">
        <v>193</v>
      </c>
      <c r="M572" s="13">
        <v>387</v>
      </c>
      <c r="N572" s="13">
        <v>5</v>
      </c>
      <c r="O572" s="15"/>
      <c r="P572" s="6">
        <v>40492.029849537037</v>
      </c>
      <c r="Q572" s="17" t="s">
        <v>2183</v>
      </c>
      <c r="R572" s="16" t="s">
        <v>2184</v>
      </c>
      <c r="S572" s="12"/>
      <c r="T572" s="12"/>
      <c r="U572" s="10" t="str">
        <f>HYPERLINK("https://pbs.twimg.com/profile_images/1018205539883474944/mtNHsLeL.jpg","View")</f>
        <v>View</v>
      </c>
    </row>
    <row r="573" spans="1:21" ht="40.799999999999997">
      <c r="A573" s="6">
        <v>43426.195856481485</v>
      </c>
      <c r="B573" s="7" t="str">
        <f>HYPERLINK("https://twitter.com/Vacceo55","@Vacceo55")</f>
        <v>@Vacceo55</v>
      </c>
      <c r="C573" s="8" t="s">
        <v>2185</v>
      </c>
      <c r="D573" s="9" t="s">
        <v>2186</v>
      </c>
      <c r="E573" s="10" t="str">
        <f>HYPERLINK("https://twitter.com/Vacceo55/status/1065586199048400897","1065586199048400897")</f>
        <v>1065586199048400897</v>
      </c>
      <c r="F573" s="11" t="s">
        <v>246</v>
      </c>
      <c r="G573" s="12"/>
      <c r="H573" s="12"/>
      <c r="I573" s="13">
        <v>1</v>
      </c>
      <c r="J573" s="13">
        <v>1</v>
      </c>
      <c r="K573" s="14" t="str">
        <f>HYPERLINK("http://twitter.com/download/iphone","Twitter for iPhone")</f>
        <v>Twitter for iPhone</v>
      </c>
      <c r="L573" s="13">
        <v>969</v>
      </c>
      <c r="M573" s="13">
        <v>279</v>
      </c>
      <c r="N573" s="13">
        <v>15</v>
      </c>
      <c r="O573" s="15"/>
      <c r="P573" s="6">
        <v>40379.36550925926</v>
      </c>
      <c r="Q573" s="12"/>
      <c r="R573" s="16" t="s">
        <v>2187</v>
      </c>
      <c r="S573" s="12"/>
      <c r="T573" s="12"/>
      <c r="U573" s="10" t="str">
        <f>HYPERLINK("https://pbs.twimg.com/profile_images/1017744675963367427/hQp3Puck.jpg","View")</f>
        <v>View</v>
      </c>
    </row>
    <row r="574" spans="1:21" ht="40.799999999999997">
      <c r="A574" s="6">
        <v>43426.1956712963</v>
      </c>
      <c r="B574" s="7" t="str">
        <f>HYPERLINK("https://twitter.com/JoanGalera7","@JoanGalera7")</f>
        <v>@JoanGalera7</v>
      </c>
      <c r="C574" s="8" t="s">
        <v>2188</v>
      </c>
      <c r="D574" s="9" t="s">
        <v>2189</v>
      </c>
      <c r="E574" s="10" t="str">
        <f>HYPERLINK("https://twitter.com/JoanGalera7/status/1065586132635852800","1065586132635852800")</f>
        <v>1065586132635852800</v>
      </c>
      <c r="F574" s="11" t="s">
        <v>1116</v>
      </c>
      <c r="G574" s="12"/>
      <c r="H574" s="12"/>
      <c r="I574" s="13">
        <v>0</v>
      </c>
      <c r="J574" s="13">
        <v>1</v>
      </c>
      <c r="K574" s="14" t="str">
        <f t="shared" ref="K574:K576" si="117">HYPERLINK("http://twitter.com/download/android","Twitter for Android")</f>
        <v>Twitter for Android</v>
      </c>
      <c r="L574" s="13">
        <v>1204</v>
      </c>
      <c r="M574" s="13">
        <v>1889</v>
      </c>
      <c r="N574" s="13">
        <v>7</v>
      </c>
      <c r="O574" s="15"/>
      <c r="P574" s="6">
        <v>42793.070833333331</v>
      </c>
      <c r="Q574" s="17" t="s">
        <v>2190</v>
      </c>
      <c r="R574" s="16" t="s">
        <v>2191</v>
      </c>
      <c r="S574" s="12"/>
      <c r="T574" s="12"/>
      <c r="U574" s="10" t="str">
        <f>HYPERLINK("https://pbs.twimg.com/profile_images/934752536560586754/tNeplOgw.jpg","View")</f>
        <v>View</v>
      </c>
    </row>
    <row r="575" spans="1:21" ht="61.2">
      <c r="A575" s="6">
        <v>43426.194872685184</v>
      </c>
      <c r="B575" s="7" t="str">
        <f>HYPERLINK("https://twitter.com/compromtido22","@compromtido22")</f>
        <v>@compromtido22</v>
      </c>
      <c r="C575" s="8" t="s">
        <v>1471</v>
      </c>
      <c r="D575" s="9" t="s">
        <v>2192</v>
      </c>
      <c r="E575" s="10" t="str">
        <f>HYPERLINK("https://twitter.com/compromtido22/status/1065585843673419776","1065585843673419776")</f>
        <v>1065585843673419776</v>
      </c>
      <c r="F575" s="17" t="s">
        <v>2193</v>
      </c>
      <c r="G575" s="12"/>
      <c r="H575" s="12"/>
      <c r="I575" s="13">
        <v>0</v>
      </c>
      <c r="J575" s="13">
        <v>0</v>
      </c>
      <c r="K575" s="14" t="str">
        <f t="shared" si="117"/>
        <v>Twitter for Android</v>
      </c>
      <c r="L575" s="13">
        <v>962</v>
      </c>
      <c r="M575" s="13">
        <v>859</v>
      </c>
      <c r="N575" s="13">
        <v>15</v>
      </c>
      <c r="O575" s="15"/>
      <c r="P575" s="6">
        <v>42411.457291666666</v>
      </c>
      <c r="Q575" s="12"/>
      <c r="R575" s="16" t="s">
        <v>1474</v>
      </c>
      <c r="S575" s="12"/>
      <c r="T575" s="12"/>
      <c r="U575" s="10" t="str">
        <f>HYPERLINK("https://pbs.twimg.com/profile_images/1062806370267860993/RfSkyzB-.jpg","View")</f>
        <v>View</v>
      </c>
    </row>
    <row r="576" spans="1:21" ht="40.799999999999997">
      <c r="A576" s="6">
        <v>43426.193611111114</v>
      </c>
      <c r="B576" s="7" t="str">
        <f>HYPERLINK("https://twitter.com/Yo_Soy_Asin","@Yo_Soy_Asin")</f>
        <v>@Yo_Soy_Asin</v>
      </c>
      <c r="C576" s="8" t="s">
        <v>554</v>
      </c>
      <c r="D576" s="9" t="s">
        <v>2195</v>
      </c>
      <c r="E576" s="10" t="str">
        <f>HYPERLINK("https://twitter.com/Yo_Soy_Asin/status/1065585386750205952","1065585386750205952")</f>
        <v>1065585386750205952</v>
      </c>
      <c r="F576" s="12"/>
      <c r="G576" s="12"/>
      <c r="H576" s="12"/>
      <c r="I576" s="13">
        <v>74</v>
      </c>
      <c r="J576" s="13">
        <v>76</v>
      </c>
      <c r="K576" s="14" t="str">
        <f t="shared" si="117"/>
        <v>Twitter for Android</v>
      </c>
      <c r="L576" s="13">
        <v>31333</v>
      </c>
      <c r="M576" s="13">
        <v>8272</v>
      </c>
      <c r="N576" s="13">
        <v>313</v>
      </c>
      <c r="O576" s="15"/>
      <c r="P576" s="6">
        <v>41967.389976851853</v>
      </c>
      <c r="Q576" s="17" t="s">
        <v>558</v>
      </c>
      <c r="R576" s="16" t="s">
        <v>559</v>
      </c>
      <c r="S576" s="12"/>
      <c r="T576" s="12"/>
      <c r="U576" s="10" t="str">
        <f>HYPERLINK("https://pbs.twimg.com/profile_images/1048246938641059840/dCLHzACC.jpg","View")</f>
        <v>View</v>
      </c>
    </row>
    <row r="577" spans="1:21" ht="30.6">
      <c r="A577" s="6">
        <v>43426.192291666666</v>
      </c>
      <c r="B577" s="7" t="str">
        <f>HYPERLINK("https://twitter.com/atolladero15","@atolladero15")</f>
        <v>@atolladero15</v>
      </c>
      <c r="C577" s="8" t="s">
        <v>2196</v>
      </c>
      <c r="D577" s="9" t="s">
        <v>2197</v>
      </c>
      <c r="E577" s="10" t="str">
        <f>HYPERLINK("https://twitter.com/atolladero15/status/1065584907399979008","1065584907399979008")</f>
        <v>1065584907399979008</v>
      </c>
      <c r="F577" s="17" t="s">
        <v>910</v>
      </c>
      <c r="G577" s="12"/>
      <c r="H577" s="12"/>
      <c r="I577" s="13">
        <v>0</v>
      </c>
      <c r="J577" s="13">
        <v>0</v>
      </c>
      <c r="K577" s="14" t="str">
        <f>HYPERLINK("https://www.hootsuite.com","Hootsuite Inc.")</f>
        <v>Hootsuite Inc.</v>
      </c>
      <c r="L577" s="13">
        <v>805</v>
      </c>
      <c r="M577" s="13">
        <v>654</v>
      </c>
      <c r="N577" s="13">
        <v>29</v>
      </c>
      <c r="O577" s="15"/>
      <c r="P577" s="6">
        <v>40573.6956712963</v>
      </c>
      <c r="Q577" s="17" t="s">
        <v>2198</v>
      </c>
      <c r="R577" s="16" t="s">
        <v>2199</v>
      </c>
      <c r="S577" s="11" t="s">
        <v>2200</v>
      </c>
      <c r="T577" s="12"/>
      <c r="U577" s="10" t="str">
        <f>HYPERLINK("https://pbs.twimg.com/profile_images/378800000742276521/40e2a35db55ef5112530c3246891cd36.jpeg","View")</f>
        <v>View</v>
      </c>
    </row>
    <row r="578" spans="1:21" ht="51">
      <c r="A578" s="6">
        <v>43426.191469907411</v>
      </c>
      <c r="B578" s="7" t="str">
        <f>HYPERLINK("https://twitter.com/EPcongreso","@EPcongreso")</f>
        <v>@EPcongreso</v>
      </c>
      <c r="C578" s="8" t="s">
        <v>2201</v>
      </c>
      <c r="D578" s="9" t="s">
        <v>2202</v>
      </c>
      <c r="E578" s="10" t="str">
        <f>HYPERLINK("https://twitter.com/EPcongreso/status/1065584610116022272","1065584610116022272")</f>
        <v>1065584610116022272</v>
      </c>
      <c r="F578" s="11" t="s">
        <v>2203</v>
      </c>
      <c r="G578" s="12"/>
      <c r="H578" s="12"/>
      <c r="I578" s="13">
        <v>1</v>
      </c>
      <c r="J578" s="13">
        <v>0</v>
      </c>
      <c r="K578" s="14" t="str">
        <f t="shared" ref="K578:K579" si="118">HYPERLINK("http://twitter.com","Twitter Web Client")</f>
        <v>Twitter Web Client</v>
      </c>
      <c r="L578" s="13">
        <v>11324</v>
      </c>
      <c r="M578" s="13">
        <v>614</v>
      </c>
      <c r="N578" s="13">
        <v>400</v>
      </c>
      <c r="O578" s="15"/>
      <c r="P578" s="6">
        <v>40784.497511574074</v>
      </c>
      <c r="Q578" s="17" t="s">
        <v>76</v>
      </c>
      <c r="R578" s="16" t="s">
        <v>2204</v>
      </c>
      <c r="S578" s="11" t="s">
        <v>2205</v>
      </c>
      <c r="T578" s="12"/>
      <c r="U578" s="10" t="str">
        <f>HYPERLINK("https://pbs.twimg.com/profile_images/877100964884475904/m1W8CAUp.jpg","View")</f>
        <v>View</v>
      </c>
    </row>
    <row r="579" spans="1:21" ht="30.6">
      <c r="A579" s="6">
        <v>43426.190208333333</v>
      </c>
      <c r="B579" s="7" t="str">
        <f>HYPERLINK("https://twitter.com/GordiPe","@GordiPe")</f>
        <v>@GordiPe</v>
      </c>
      <c r="C579" s="8" t="s">
        <v>2206</v>
      </c>
      <c r="D579" s="9" t="s">
        <v>2207</v>
      </c>
      <c r="E579" s="10" t="str">
        <f>HYPERLINK("https://twitter.com/GordiPe/status/1065584155436683265","1065584155436683265")</f>
        <v>1065584155436683265</v>
      </c>
      <c r="F579" s="11" t="s">
        <v>962</v>
      </c>
      <c r="G579" s="12"/>
      <c r="H579" s="12"/>
      <c r="I579" s="13">
        <v>0</v>
      </c>
      <c r="J579" s="13">
        <v>0</v>
      </c>
      <c r="K579" s="14" t="str">
        <f t="shared" si="118"/>
        <v>Twitter Web Client</v>
      </c>
      <c r="L579" s="13">
        <v>855</v>
      </c>
      <c r="M579" s="13">
        <v>672</v>
      </c>
      <c r="N579" s="13">
        <v>40</v>
      </c>
      <c r="O579" s="15"/>
      <c r="P579" s="6">
        <v>40359.504189814819</v>
      </c>
      <c r="Q579" s="12"/>
      <c r="R579" s="16" t="s">
        <v>2209</v>
      </c>
      <c r="S579" s="11" t="s">
        <v>2210</v>
      </c>
      <c r="T579" s="12"/>
      <c r="U579" s="10" t="str">
        <f>HYPERLINK("https://pbs.twimg.com/profile_images/949967121227894784/Uk2_uIix.jpg","View")</f>
        <v>View</v>
      </c>
    </row>
    <row r="580" spans="1:21" ht="20.399999999999999">
      <c r="A580" s="6">
        <v>43426.190057870372</v>
      </c>
      <c r="B580" s="7" t="str">
        <f>HYPERLINK("https://twitter.com/mcorzal","@mcorzal")</f>
        <v>@mcorzal</v>
      </c>
      <c r="C580" s="8" t="s">
        <v>2211</v>
      </c>
      <c r="D580" s="9" t="s">
        <v>2212</v>
      </c>
      <c r="E580" s="10" t="str">
        <f>HYPERLINK("https://twitter.com/mcorzal/status/1065584100411695104","1065584100411695104")</f>
        <v>1065584100411695104</v>
      </c>
      <c r="F580" s="11" t="s">
        <v>962</v>
      </c>
      <c r="G580" s="12"/>
      <c r="H580" s="12"/>
      <c r="I580" s="13">
        <v>0</v>
      </c>
      <c r="J580" s="13">
        <v>0</v>
      </c>
      <c r="K580" s="14" t="str">
        <f>HYPERLINK("http://www.facebook.com/twitter","Facebook")</f>
        <v>Facebook</v>
      </c>
      <c r="L580" s="13">
        <v>237</v>
      </c>
      <c r="M580" s="13">
        <v>353</v>
      </c>
      <c r="N580" s="13">
        <v>5</v>
      </c>
      <c r="O580" s="15"/>
      <c r="P580" s="6">
        <v>41302.678240740745</v>
      </c>
      <c r="Q580" s="17" t="s">
        <v>2214</v>
      </c>
      <c r="R580" s="16" t="s">
        <v>1979</v>
      </c>
      <c r="S580" s="12"/>
      <c r="T580" s="12"/>
      <c r="U580" s="10" t="str">
        <f>HYPERLINK("https://pbs.twimg.com/profile_images/505764381775638528/VEmgWUEV.jpeg","View")</f>
        <v>View</v>
      </c>
    </row>
    <row r="581" spans="1:21" ht="30.6">
      <c r="A581" s="6">
        <v>43426.189826388887</v>
      </c>
      <c r="B581" s="7" t="str">
        <f>HYPERLINK("https://twitter.com/johebl","@johebl")</f>
        <v>@johebl</v>
      </c>
      <c r="C581" s="8" t="s">
        <v>2215</v>
      </c>
      <c r="D581" s="9" t="s">
        <v>266</v>
      </c>
      <c r="E581" s="10" t="str">
        <f>HYPERLINK("https://twitter.com/johebl/status/1065584013761486848","1065584013761486848")</f>
        <v>1065584013761486848</v>
      </c>
      <c r="F581" s="11" t="s">
        <v>267</v>
      </c>
      <c r="G581" s="12"/>
      <c r="H581" s="12"/>
      <c r="I581" s="13">
        <v>0</v>
      </c>
      <c r="J581" s="13">
        <v>0</v>
      </c>
      <c r="K581" s="14" t="str">
        <f t="shared" ref="K581:K582" si="119">HYPERLINK("http://twitter.com","Twitter Web Client")</f>
        <v>Twitter Web Client</v>
      </c>
      <c r="L581" s="13">
        <v>1963</v>
      </c>
      <c r="M581" s="13">
        <v>3252</v>
      </c>
      <c r="N581" s="13">
        <v>32</v>
      </c>
      <c r="O581" s="15"/>
      <c r="P581" s="6">
        <v>40682.511770833335</v>
      </c>
      <c r="Q581" s="12"/>
      <c r="R581" s="16" t="s">
        <v>2216</v>
      </c>
      <c r="S581" s="12"/>
      <c r="T581" s="12"/>
      <c r="U581" s="10" t="str">
        <f>HYPERLINK("https://pbs.twimg.com/profile_images/869585007467278336/OV17_yML.jpg","View")</f>
        <v>View</v>
      </c>
    </row>
    <row r="582" spans="1:21" ht="20.399999999999999">
      <c r="A582" s="6">
        <v>43426.18885416667</v>
      </c>
      <c r="B582" s="7" t="str">
        <f>HYPERLINK("https://twitter.com/EDMANUEL1234","@EDMANUEL1234")</f>
        <v>@EDMANUEL1234</v>
      </c>
      <c r="C582" s="8" t="s">
        <v>2217</v>
      </c>
      <c r="D582" s="9" t="s">
        <v>2218</v>
      </c>
      <c r="E582" s="10" t="str">
        <f>HYPERLINK("https://twitter.com/EDMANUEL1234/status/1065583664065581056","1065583664065581056")</f>
        <v>1065583664065581056</v>
      </c>
      <c r="F582" s="11" t="s">
        <v>2219</v>
      </c>
      <c r="G582" s="12"/>
      <c r="H582" s="12"/>
      <c r="I582" s="13">
        <v>1</v>
      </c>
      <c r="J582" s="13">
        <v>0</v>
      </c>
      <c r="K582" s="14" t="str">
        <f t="shared" si="119"/>
        <v>Twitter Web Client</v>
      </c>
      <c r="L582" s="13">
        <v>2625</v>
      </c>
      <c r="M582" s="13">
        <v>3843</v>
      </c>
      <c r="N582" s="13">
        <v>27</v>
      </c>
      <c r="O582" s="15"/>
      <c r="P582" s="6">
        <v>40640.228090277778</v>
      </c>
      <c r="Q582" s="17" t="s">
        <v>1325</v>
      </c>
      <c r="R582" s="16" t="s">
        <v>2220</v>
      </c>
      <c r="S582" s="12"/>
      <c r="T582" s="12"/>
      <c r="U582" s="10" t="str">
        <f>HYPERLINK("https://pbs.twimg.com/profile_images/1065954013559095297/kEgfwCH7.jpg","View")</f>
        <v>View</v>
      </c>
    </row>
    <row r="583" spans="1:21" ht="61.2">
      <c r="A583" s="6">
        <v>43426.188032407408</v>
      </c>
      <c r="B583" s="7" t="str">
        <f>HYPERLINK("https://twitter.com/velasco_dani","@velasco_dani")</f>
        <v>@velasco_dani</v>
      </c>
      <c r="C583" s="8" t="s">
        <v>2221</v>
      </c>
      <c r="D583" s="9" t="s">
        <v>2222</v>
      </c>
      <c r="E583" s="10" t="str">
        <f>HYPERLINK("https://twitter.com/velasco_dani/status/1065583365515026441","1065583365515026441")</f>
        <v>1065583365515026441</v>
      </c>
      <c r="F583" s="17" t="s">
        <v>2223</v>
      </c>
      <c r="G583" s="11" t="s">
        <v>2224</v>
      </c>
      <c r="H583" s="12"/>
      <c r="I583" s="13">
        <v>0</v>
      </c>
      <c r="J583" s="13">
        <v>0</v>
      </c>
      <c r="K583" s="14" t="str">
        <f>HYPERLINK("http://twitter.com/download/android","Twitter for Android")</f>
        <v>Twitter for Android</v>
      </c>
      <c r="L583" s="13">
        <v>125</v>
      </c>
      <c r="M583" s="13">
        <v>168</v>
      </c>
      <c r="N583" s="13">
        <v>1</v>
      </c>
      <c r="O583" s="15"/>
      <c r="P583" s="6">
        <v>40599.403865740736</v>
      </c>
      <c r="Q583" s="17" t="s">
        <v>419</v>
      </c>
      <c r="R583" s="16" t="s">
        <v>2225</v>
      </c>
      <c r="S583" s="11" t="s">
        <v>2226</v>
      </c>
      <c r="T583" s="12"/>
      <c r="U583" s="10" t="str">
        <f>HYPERLINK("https://pbs.twimg.com/profile_images/1042336940589293568/SaQNS1zO.jpg","View")</f>
        <v>View</v>
      </c>
    </row>
    <row r="584" spans="1:21" ht="40.799999999999997">
      <c r="A584" s="6">
        <v>43426.1875</v>
      </c>
      <c r="B584" s="7" t="str">
        <f>HYPERLINK("https://twitter.com/El_Plural","@El_Plural")</f>
        <v>@El_Plural</v>
      </c>
      <c r="C584" s="8" t="s">
        <v>2227</v>
      </c>
      <c r="D584" s="9" t="s">
        <v>2228</v>
      </c>
      <c r="E584" s="10" t="str">
        <f>HYPERLINK("https://twitter.com/El_Plural/status/1065583171566104576","1065583171566104576")</f>
        <v>1065583171566104576</v>
      </c>
      <c r="F584" s="11" t="s">
        <v>1774</v>
      </c>
      <c r="G584" s="12"/>
      <c r="H584" s="12"/>
      <c r="I584" s="13">
        <v>4</v>
      </c>
      <c r="J584" s="13">
        <v>0</v>
      </c>
      <c r="K584" s="14" t="str">
        <f>HYPERLINK("https://about.twitter.com/products/tweetdeck","TweetDeck")</f>
        <v>TweetDeck</v>
      </c>
      <c r="L584" s="13">
        <v>71889</v>
      </c>
      <c r="M584" s="13">
        <v>1644</v>
      </c>
      <c r="N584" s="13">
        <v>2012</v>
      </c>
      <c r="O584" s="15"/>
      <c r="P584" s="6">
        <v>40351.13553240741</v>
      </c>
      <c r="Q584" s="17" t="s">
        <v>29</v>
      </c>
      <c r="R584" s="16" t="s">
        <v>2229</v>
      </c>
      <c r="S584" s="11" t="s">
        <v>2230</v>
      </c>
      <c r="T584" s="12"/>
      <c r="U584" s="10" t="str">
        <f>HYPERLINK("https://pbs.twimg.com/profile_images/1017707018138857473/kUt8X2tn.jpg","View")</f>
        <v>View</v>
      </c>
    </row>
    <row r="585" spans="1:21" ht="40.799999999999997">
      <c r="A585" s="6">
        <v>43426.184571759259</v>
      </c>
      <c r="B585" s="7" t="str">
        <f>HYPERLINK("https://twitter.com/agarcialoz","@agarcialoz")</f>
        <v>@agarcialoz</v>
      </c>
      <c r="C585" s="8" t="s">
        <v>2231</v>
      </c>
      <c r="D585" s="9" t="s">
        <v>2232</v>
      </c>
      <c r="E585" s="10" t="str">
        <f>HYPERLINK("https://twitter.com/agarcialoz/status/1065582111166529536","1065582111166529536")</f>
        <v>1065582111166529536</v>
      </c>
      <c r="F585" s="17" t="s">
        <v>910</v>
      </c>
      <c r="G585" s="12"/>
      <c r="H585" s="12"/>
      <c r="I585" s="13">
        <v>0</v>
      </c>
      <c r="J585" s="13">
        <v>0</v>
      </c>
      <c r="K585" s="14" t="str">
        <f>HYPERLINK("http://twitter.com/download/android","Twitter for Android")</f>
        <v>Twitter for Android</v>
      </c>
      <c r="L585" s="13">
        <v>123</v>
      </c>
      <c r="M585" s="13">
        <v>124</v>
      </c>
      <c r="N585" s="13">
        <v>12</v>
      </c>
      <c r="O585" s="15"/>
      <c r="P585" s="6">
        <v>40473.107245370367</v>
      </c>
      <c r="Q585" s="12"/>
      <c r="R585" s="16" t="s">
        <v>2233</v>
      </c>
      <c r="S585" s="12"/>
      <c r="T585" s="12"/>
      <c r="U585" s="10" t="str">
        <f>HYPERLINK("https://pbs.twimg.com/profile_images/378800000570751020/05a7859d7db7c8ecb4e372c54cdccfd6.png","View")</f>
        <v>View</v>
      </c>
    </row>
    <row r="586" spans="1:21" ht="51">
      <c r="A586" s="6">
        <v>43426.184027777781</v>
      </c>
      <c r="B586" s="7" t="str">
        <f>HYPERLINK("https://twitter.com/miguelcanabal","@miguelcanabal")</f>
        <v>@miguelcanabal</v>
      </c>
      <c r="C586" s="8" t="s">
        <v>925</v>
      </c>
      <c r="D586" s="9" t="s">
        <v>2234</v>
      </c>
      <c r="E586" s="10" t="str">
        <f>HYPERLINK("https://twitter.com/miguelcanabal/status/1065581914663370752","1065581914663370752")</f>
        <v>1065581914663370752</v>
      </c>
      <c r="F586" s="11" t="s">
        <v>2235</v>
      </c>
      <c r="G586" s="11" t="s">
        <v>2236</v>
      </c>
      <c r="H586" s="12"/>
      <c r="I586" s="13">
        <v>0</v>
      </c>
      <c r="J586" s="13">
        <v>0</v>
      </c>
      <c r="K586" s="14" t="str">
        <f>HYPERLINK("http://twitter.com","Twitter Web Client")</f>
        <v>Twitter Web Client</v>
      </c>
      <c r="L586" s="13">
        <v>1381</v>
      </c>
      <c r="M586" s="13">
        <v>805</v>
      </c>
      <c r="N586" s="13">
        <v>23</v>
      </c>
      <c r="O586" s="15"/>
      <c r="P586" s="6">
        <v>41549.478263888886</v>
      </c>
      <c r="Q586" s="17" t="s">
        <v>929</v>
      </c>
      <c r="R586" s="16" t="s">
        <v>930</v>
      </c>
      <c r="S586" s="12"/>
      <c r="T586" s="12"/>
      <c r="U586" s="10" t="str">
        <f>HYPERLINK("https://pbs.twimg.com/profile_images/378800000539186970/2a820c480335778b08c57ba3f2926cb0.jpeg","View")</f>
        <v>View</v>
      </c>
    </row>
    <row r="587" spans="1:21" ht="40.799999999999997">
      <c r="A587" s="6">
        <v>43426.183182870373</v>
      </c>
      <c r="B587" s="7" t="str">
        <f>HYPERLINK("https://twitter.com/jordicornet","@jordicornet")</f>
        <v>@jordicornet</v>
      </c>
      <c r="C587" s="8" t="s">
        <v>2237</v>
      </c>
      <c r="D587" s="9" t="s">
        <v>2238</v>
      </c>
      <c r="E587" s="10" t="str">
        <f>HYPERLINK("https://twitter.com/jordicornet/status/1065581607925489664","1065581607925489664")</f>
        <v>1065581607925489664</v>
      </c>
      <c r="F587" s="11" t="s">
        <v>1881</v>
      </c>
      <c r="G587" s="12"/>
      <c r="H587" s="12"/>
      <c r="I587" s="13">
        <v>0</v>
      </c>
      <c r="J587" s="13">
        <v>0</v>
      </c>
      <c r="K587" s="14" t="str">
        <f>HYPERLINK("http://twitter.com/download/android","Twitter for Android")</f>
        <v>Twitter for Android</v>
      </c>
      <c r="L587" s="13">
        <v>326</v>
      </c>
      <c r="M587" s="13">
        <v>231</v>
      </c>
      <c r="N587" s="13">
        <v>18</v>
      </c>
      <c r="O587" s="15"/>
      <c r="P587" s="6">
        <v>39927.0075</v>
      </c>
      <c r="Q587" s="17" t="s">
        <v>187</v>
      </c>
      <c r="R587" s="16" t="s">
        <v>2239</v>
      </c>
      <c r="S587" s="11" t="s">
        <v>2240</v>
      </c>
      <c r="T587" s="12"/>
      <c r="U587" s="10" t="str">
        <f>HYPERLINK("https://pbs.twimg.com/profile_images/835778660124798976/MKlr1Vzv.jpg","View")</f>
        <v>View</v>
      </c>
    </row>
    <row r="588" spans="1:21" ht="30.6">
      <c r="A588" s="6">
        <v>43426.182638888888</v>
      </c>
      <c r="B588" s="7" t="str">
        <f>HYPERLINK("https://twitter.com/ABJ6691","@ABJ6691")</f>
        <v>@ABJ6691</v>
      </c>
      <c r="C588" s="8" t="s">
        <v>2241</v>
      </c>
      <c r="D588" s="9" t="s">
        <v>2242</v>
      </c>
      <c r="E588" s="10" t="str">
        <f>HYPERLINK("https://twitter.com/ABJ6691/status/1065581412684845056","1065581412684845056")</f>
        <v>1065581412684845056</v>
      </c>
      <c r="F588" s="12"/>
      <c r="G588" s="12"/>
      <c r="H588" s="12"/>
      <c r="I588" s="13">
        <v>0</v>
      </c>
      <c r="J588" s="13">
        <v>2</v>
      </c>
      <c r="K588" s="14" t="str">
        <f>HYPERLINK("http://twitter.com","Twitter Web Client")</f>
        <v>Twitter Web Client</v>
      </c>
      <c r="L588" s="13">
        <v>1187</v>
      </c>
      <c r="M588" s="13">
        <v>1032</v>
      </c>
      <c r="N588" s="13">
        <v>13</v>
      </c>
      <c r="O588" s="15"/>
      <c r="P588" s="6">
        <v>41788.177662037036</v>
      </c>
      <c r="Q588" s="12"/>
      <c r="R588" s="16" t="s">
        <v>2243</v>
      </c>
      <c r="S588" s="12"/>
      <c r="T588" s="12"/>
      <c r="U588" s="10" t="str">
        <f>HYPERLINK("https://pbs.twimg.com/profile_images/998485520349970432/4qWdVkQL.jpg","View")</f>
        <v>View</v>
      </c>
    </row>
    <row r="589" spans="1:21" ht="40.799999999999997">
      <c r="A589" s="6">
        <v>43426.179525462961</v>
      </c>
      <c r="B589" s="7" t="str">
        <f>HYPERLINK("https://twitter.com/framecom_","@framecom_")</f>
        <v>@framecom_</v>
      </c>
      <c r="C589" s="8" t="s">
        <v>2244</v>
      </c>
      <c r="D589" s="9" t="s">
        <v>2245</v>
      </c>
      <c r="E589" s="10" t="str">
        <f>HYPERLINK("https://twitter.com/framecom_/status/1065580284006027264","1065580284006027264")</f>
        <v>1065580284006027264</v>
      </c>
      <c r="F589" s="11" t="s">
        <v>2246</v>
      </c>
      <c r="G589" s="12"/>
      <c r="H589" s="12"/>
      <c r="I589" s="13">
        <v>0</v>
      </c>
      <c r="J589" s="13">
        <v>0</v>
      </c>
      <c r="K589" s="14" t="str">
        <f t="shared" ref="K589:K590" si="120">HYPERLINK("http://twitter.com/download/android","Twitter for Android")</f>
        <v>Twitter for Android</v>
      </c>
      <c r="L589" s="13">
        <v>645</v>
      </c>
      <c r="M589" s="13">
        <v>498</v>
      </c>
      <c r="N589" s="13">
        <v>14</v>
      </c>
      <c r="O589" s="15"/>
      <c r="P589" s="6">
        <v>40621.467326388891</v>
      </c>
      <c r="Q589" s="17" t="s">
        <v>76</v>
      </c>
      <c r="R589" s="16" t="s">
        <v>2247</v>
      </c>
      <c r="S589" s="11" t="s">
        <v>2248</v>
      </c>
      <c r="T589" s="12"/>
      <c r="U589" s="10" t="str">
        <f>HYPERLINK("https://pbs.twimg.com/profile_images/758584396932939777/l1EVy2yv.jpg","View")</f>
        <v>View</v>
      </c>
    </row>
    <row r="590" spans="1:21" ht="30.6">
      <c r="A590" s="6">
        <v>43426.178344907406</v>
      </c>
      <c r="B590" s="7" t="str">
        <f>HYPERLINK("https://twitter.com/walkinglionking","@walkinglionking")</f>
        <v>@walkinglionking</v>
      </c>
      <c r="C590" s="8" t="s">
        <v>2249</v>
      </c>
      <c r="D590" s="9" t="s">
        <v>2250</v>
      </c>
      <c r="E590" s="10" t="str">
        <f>HYPERLINK("https://twitter.com/walkinglionking/status/1065579853993385985","1065579853993385985")</f>
        <v>1065579853993385985</v>
      </c>
      <c r="F590" s="12"/>
      <c r="G590" s="12"/>
      <c r="H590" s="12"/>
      <c r="I590" s="13">
        <v>0</v>
      </c>
      <c r="J590" s="13">
        <v>0</v>
      </c>
      <c r="K590" s="14" t="str">
        <f t="shared" si="120"/>
        <v>Twitter for Android</v>
      </c>
      <c r="L590" s="13">
        <v>0</v>
      </c>
      <c r="M590" s="13">
        <v>1</v>
      </c>
      <c r="N590" s="13">
        <v>0</v>
      </c>
      <c r="O590" s="15"/>
      <c r="P590" s="6">
        <v>43155.523217592592</v>
      </c>
      <c r="Q590" s="12"/>
      <c r="R590" s="18"/>
      <c r="S590" s="12"/>
      <c r="T590" s="12"/>
      <c r="U590" s="19" t="s">
        <v>368</v>
      </c>
    </row>
    <row r="591" spans="1:21" ht="40.799999999999997">
      <c r="A591" s="6">
        <v>43426.177361111113</v>
      </c>
      <c r="B591" s="7" t="str">
        <f>HYPERLINK("https://twitter.com/PadreEmerito","@PadreEmerito")</f>
        <v>@PadreEmerito</v>
      </c>
      <c r="C591" s="8" t="s">
        <v>2251</v>
      </c>
      <c r="D591" s="9" t="s">
        <v>2252</v>
      </c>
      <c r="E591" s="10" t="str">
        <f>HYPERLINK("https://twitter.com/PadreEmerito/status/1065579498865913856","1065579498865913856")</f>
        <v>1065579498865913856</v>
      </c>
      <c r="F591" s="12"/>
      <c r="G591" s="12"/>
      <c r="H591" s="12"/>
      <c r="I591" s="13">
        <v>5</v>
      </c>
      <c r="J591" s="13">
        <v>7</v>
      </c>
      <c r="K591" s="14" t="str">
        <f t="shared" ref="K591:K592" si="121">HYPERLINK("http://twitter.com","Twitter Web Client")</f>
        <v>Twitter Web Client</v>
      </c>
      <c r="L591" s="13">
        <v>1561</v>
      </c>
      <c r="M591" s="13">
        <v>1153</v>
      </c>
      <c r="N591" s="13">
        <v>19</v>
      </c>
      <c r="O591" s="15"/>
      <c r="P591" s="6">
        <v>42088.604872685188</v>
      </c>
      <c r="Q591" s="12"/>
      <c r="R591" s="16" t="s">
        <v>2254</v>
      </c>
      <c r="S591" s="12"/>
      <c r="T591" s="12"/>
      <c r="U591" s="10" t="str">
        <f>HYPERLINK("https://pbs.twimg.com/profile_images/880842065151758336/Sp0RVsH9.jpg","View")</f>
        <v>View</v>
      </c>
    </row>
    <row r="592" spans="1:21" ht="30.6">
      <c r="A592" s="6">
        <v>43426.176261574074</v>
      </c>
      <c r="B592" s="7" t="str">
        <f>HYPERLINK("https://twitter.com/iescolar","@iescolar")</f>
        <v>@iescolar</v>
      </c>
      <c r="C592" s="8" t="s">
        <v>942</v>
      </c>
      <c r="D592" s="9" t="s">
        <v>1328</v>
      </c>
      <c r="E592" s="10" t="str">
        <f>HYPERLINK("https://twitter.com/iescolar/status/1065579098666344448","1065579098666344448")</f>
        <v>1065579098666344448</v>
      </c>
      <c r="F592" s="11" t="s">
        <v>962</v>
      </c>
      <c r="G592" s="12"/>
      <c r="H592" s="12"/>
      <c r="I592" s="13">
        <v>642</v>
      </c>
      <c r="J592" s="13">
        <v>498</v>
      </c>
      <c r="K592" s="14" t="str">
        <f t="shared" si="121"/>
        <v>Twitter Web Client</v>
      </c>
      <c r="L592" s="13">
        <v>903275</v>
      </c>
      <c r="M592" s="13">
        <v>5425</v>
      </c>
      <c r="N592" s="13">
        <v>11976</v>
      </c>
      <c r="O592" s="19" t="s">
        <v>74</v>
      </c>
      <c r="P592" s="6">
        <v>39556.500960648147</v>
      </c>
      <c r="Q592" s="17" t="s">
        <v>944</v>
      </c>
      <c r="R592" s="16" t="s">
        <v>945</v>
      </c>
      <c r="S592" s="11" t="s">
        <v>693</v>
      </c>
      <c r="T592" s="12"/>
      <c r="U592" s="10" t="str">
        <f>HYPERLINK("https://pbs.twimg.com/profile_images/970684993231097856/30L3bCoG.jpg","View")</f>
        <v>View</v>
      </c>
    </row>
    <row r="593" spans="1:21" ht="40.799999999999997">
      <c r="A593" s="6">
        <v>43426.175636574073</v>
      </c>
      <c r="B593" s="7" t="str">
        <f>HYPERLINK("https://twitter.com/BraisRodrguez1","@BraisRodrguez1")</f>
        <v>@BraisRodrguez1</v>
      </c>
      <c r="C593" s="8" t="s">
        <v>2255</v>
      </c>
      <c r="D593" s="9" t="s">
        <v>2256</v>
      </c>
      <c r="E593" s="10" t="str">
        <f>HYPERLINK("https://twitter.com/BraisRodrguez1/status/1065578872123600901","1065578872123600901")</f>
        <v>1065578872123600901</v>
      </c>
      <c r="F593" s="12"/>
      <c r="G593" s="11" t="s">
        <v>2257</v>
      </c>
      <c r="H593" s="12"/>
      <c r="I593" s="13">
        <v>0</v>
      </c>
      <c r="J593" s="13">
        <v>0</v>
      </c>
      <c r="K593" s="14" t="str">
        <f>HYPERLINK("http://twitter.com/download/android","Twitter for Android")</f>
        <v>Twitter for Android</v>
      </c>
      <c r="L593" s="13">
        <v>1029</v>
      </c>
      <c r="M593" s="13">
        <v>5000</v>
      </c>
      <c r="N593" s="13">
        <v>29</v>
      </c>
      <c r="O593" s="15"/>
      <c r="P593" s="6">
        <v>42566.293576388889</v>
      </c>
      <c r="Q593" s="17" t="s">
        <v>2258</v>
      </c>
      <c r="R593" s="16" t="s">
        <v>2259</v>
      </c>
      <c r="S593" s="12"/>
      <c r="T593" s="12"/>
      <c r="U593" s="10" t="str">
        <f>HYPERLINK("https://pbs.twimg.com/profile_images/1056547291597848576/fhCYdHDt.jpg","View")</f>
        <v>View</v>
      </c>
    </row>
    <row r="594" spans="1:21" ht="71.400000000000006">
      <c r="A594" s="6">
        <v>43426.175462962958</v>
      </c>
      <c r="B594" s="7" t="str">
        <f>HYPERLINK("https://twitter.com/gorrocha","@gorrocha")</f>
        <v>@gorrocha</v>
      </c>
      <c r="C594" s="8" t="s">
        <v>2260</v>
      </c>
      <c r="D594" s="9" t="s">
        <v>2261</v>
      </c>
      <c r="E594" s="10" t="str">
        <f>HYPERLINK("https://twitter.com/gorrocha/status/1065578808978358274","1065578808978358274")</f>
        <v>1065578808978358274</v>
      </c>
      <c r="F594" s="17" t="s">
        <v>2262</v>
      </c>
      <c r="G594" s="11" t="s">
        <v>2263</v>
      </c>
      <c r="H594" s="12"/>
      <c r="I594" s="13">
        <v>0</v>
      </c>
      <c r="J594" s="13">
        <v>0</v>
      </c>
      <c r="K594" s="14" t="str">
        <f>HYPERLINK("http://twitter.com/download/iphone","Twitter for iPhone")</f>
        <v>Twitter for iPhone</v>
      </c>
      <c r="L594" s="13">
        <v>199</v>
      </c>
      <c r="M594" s="13">
        <v>365</v>
      </c>
      <c r="N594" s="13">
        <v>8</v>
      </c>
      <c r="O594" s="15"/>
      <c r="P594" s="6">
        <v>40580.533182870371</v>
      </c>
      <c r="Q594" s="17" t="s">
        <v>2264</v>
      </c>
      <c r="R594" s="16" t="s">
        <v>2265</v>
      </c>
      <c r="S594" s="12"/>
      <c r="T594" s="12"/>
      <c r="U594" s="10" t="str">
        <f>HYPERLINK("https://pbs.twimg.com/profile_images/1059996032300449792/tRWzdplb.jpg","View")</f>
        <v>View</v>
      </c>
    </row>
    <row r="595" spans="1:21" ht="51">
      <c r="A595" s="6">
        <v>43426.174814814818</v>
      </c>
      <c r="B595" s="7" t="str">
        <f>HYPERLINK("https://twitter.com/ferbovi","@ferbovi")</f>
        <v>@ferbovi</v>
      </c>
      <c r="C595" s="8" t="s">
        <v>2266</v>
      </c>
      <c r="D595" s="9" t="s">
        <v>2267</v>
      </c>
      <c r="E595" s="10" t="str">
        <f>HYPERLINK("https://twitter.com/ferbovi/status/1065578575263338496","1065578575263338496")</f>
        <v>1065578575263338496</v>
      </c>
      <c r="F595" s="12"/>
      <c r="G595" s="11" t="s">
        <v>2268</v>
      </c>
      <c r="H595" s="12"/>
      <c r="I595" s="13">
        <v>5</v>
      </c>
      <c r="J595" s="13">
        <v>8</v>
      </c>
      <c r="K595" s="14" t="str">
        <f>HYPERLINK("http://twitter.com/download/android","Twitter for Android")</f>
        <v>Twitter for Android</v>
      </c>
      <c r="L595" s="13">
        <v>2057</v>
      </c>
      <c r="M595" s="13">
        <v>995</v>
      </c>
      <c r="N595" s="13">
        <v>39</v>
      </c>
      <c r="O595" s="15"/>
      <c r="P595" s="6">
        <v>41251.615937499999</v>
      </c>
      <c r="Q595" s="17" t="s">
        <v>76</v>
      </c>
      <c r="R595" s="16" t="s">
        <v>2269</v>
      </c>
      <c r="S595" s="11" t="s">
        <v>358</v>
      </c>
      <c r="T595" s="12"/>
      <c r="U595" s="10" t="str">
        <f>HYPERLINK("https://pbs.twimg.com/profile_images/901623723509338113/56bDGTA5.jpg","View")</f>
        <v>View</v>
      </c>
    </row>
    <row r="596" spans="1:21" ht="30.6">
      <c r="A596" s="6">
        <v>43426.174108796295</v>
      </c>
      <c r="B596" s="7" t="str">
        <f>HYPERLINK("https://twitter.com/JustVegetal","@JustVegetal")</f>
        <v>@JustVegetal</v>
      </c>
      <c r="C596" s="8" t="s">
        <v>702</v>
      </c>
      <c r="D596" s="9" t="s">
        <v>266</v>
      </c>
      <c r="E596" s="10" t="str">
        <f>HYPERLINK("https://twitter.com/JustVegetal/status/1065578319423377409","1065578319423377409")</f>
        <v>1065578319423377409</v>
      </c>
      <c r="F596" s="11" t="s">
        <v>267</v>
      </c>
      <c r="G596" s="12"/>
      <c r="H596" s="12"/>
      <c r="I596" s="13">
        <v>0</v>
      </c>
      <c r="J596" s="13">
        <v>0</v>
      </c>
      <c r="K596" s="14" t="str">
        <f t="shared" ref="K596:K597" si="122">HYPERLINK("http://twitter.com","Twitter Web Client")</f>
        <v>Twitter Web Client</v>
      </c>
      <c r="L596" s="13">
        <v>653</v>
      </c>
      <c r="M596" s="13">
        <v>1032</v>
      </c>
      <c r="N596" s="13">
        <v>5</v>
      </c>
      <c r="O596" s="15"/>
      <c r="P596" s="6">
        <v>40712.546655092592</v>
      </c>
      <c r="Q596" s="17" t="s">
        <v>703</v>
      </c>
      <c r="R596" s="16" t="s">
        <v>704</v>
      </c>
      <c r="S596" s="11" t="s">
        <v>705</v>
      </c>
      <c r="T596" s="12"/>
      <c r="U596" s="10" t="str">
        <f>HYPERLINK("https://pbs.twimg.com/profile_images/586796647973269504/bZi7vd4O.jpg","View")</f>
        <v>View</v>
      </c>
    </row>
    <row r="597" spans="1:21" ht="40.799999999999997">
      <c r="A597" s="6">
        <v>43426.174039351856</v>
      </c>
      <c r="B597" s="7" t="str">
        <f>HYPERLINK("https://twitter.com/Echelon_43","@Echelon_43")</f>
        <v>@Echelon_43</v>
      </c>
      <c r="C597" s="8" t="s">
        <v>2271</v>
      </c>
      <c r="D597" s="9" t="s">
        <v>266</v>
      </c>
      <c r="E597" s="10" t="str">
        <f>HYPERLINK("https://twitter.com/Echelon_43/status/1065578292240109568","1065578292240109568")</f>
        <v>1065578292240109568</v>
      </c>
      <c r="F597" s="11" t="s">
        <v>292</v>
      </c>
      <c r="G597" s="12"/>
      <c r="H597" s="12"/>
      <c r="I597" s="13">
        <v>0</v>
      </c>
      <c r="J597" s="13">
        <v>0</v>
      </c>
      <c r="K597" s="14" t="str">
        <f t="shared" si="122"/>
        <v>Twitter Web Client</v>
      </c>
      <c r="L597" s="13">
        <v>896</v>
      </c>
      <c r="M597" s="13">
        <v>193</v>
      </c>
      <c r="N597" s="13">
        <v>65</v>
      </c>
      <c r="O597" s="15"/>
      <c r="P597" s="6">
        <v>40751.18037037037</v>
      </c>
      <c r="Q597" s="17" t="s">
        <v>26</v>
      </c>
      <c r="R597" s="16" t="s">
        <v>2272</v>
      </c>
      <c r="S597" s="12"/>
      <c r="T597" s="12"/>
      <c r="U597" s="10" t="str">
        <f>HYPERLINK("https://pbs.twimg.com/profile_images/921723596594143233/wkqlrmwK.jpg","View")</f>
        <v>View</v>
      </c>
    </row>
    <row r="598" spans="1:21" ht="30.6">
      <c r="A598" s="6">
        <v>43426.172650462962</v>
      </c>
      <c r="B598" s="7" t="str">
        <f>HYPERLINK("https://twitter.com/ElHuffPost","@ElHuffPost")</f>
        <v>@ElHuffPost</v>
      </c>
      <c r="C598" s="8" t="s">
        <v>467</v>
      </c>
      <c r="D598" s="9" t="s">
        <v>2273</v>
      </c>
      <c r="E598" s="10" t="str">
        <f>HYPERLINK("https://twitter.com/ElHuffPost/status/1065577791662555136","1065577791662555136")</f>
        <v>1065577791662555136</v>
      </c>
      <c r="F598" s="11" t="s">
        <v>2274</v>
      </c>
      <c r="G598" s="12"/>
      <c r="H598" s="12"/>
      <c r="I598" s="13">
        <v>0</v>
      </c>
      <c r="J598" s="13">
        <v>1</v>
      </c>
      <c r="K598" s="14" t="str">
        <f>HYPERLINK("https://about.twitter.com/products/tweetdeck","TweetDeck")</f>
        <v>TweetDeck</v>
      </c>
      <c r="L598" s="13">
        <v>430323</v>
      </c>
      <c r="M598" s="13">
        <v>1532</v>
      </c>
      <c r="N598" s="13">
        <v>8186</v>
      </c>
      <c r="O598" s="19" t="s">
        <v>74</v>
      </c>
      <c r="P598" s="6">
        <v>40784.652118055557</v>
      </c>
      <c r="Q598" s="17" t="s">
        <v>203</v>
      </c>
      <c r="R598" s="16" t="s">
        <v>471</v>
      </c>
      <c r="S598" s="11" t="s">
        <v>472</v>
      </c>
      <c r="T598" s="12"/>
      <c r="U598" s="10" t="str">
        <f>HYPERLINK("https://pbs.twimg.com/profile_images/921140803422089217/ETOEUOAx.jpg","View")</f>
        <v>View</v>
      </c>
    </row>
    <row r="599" spans="1:21" ht="40.799999999999997">
      <c r="A599" s="6">
        <v>43426.172303240739</v>
      </c>
      <c r="B599" s="7" t="str">
        <f>HYPERLINK("https://twitter.com/asturgaucho","@asturgaucho")</f>
        <v>@asturgaucho</v>
      </c>
      <c r="C599" s="8" t="s">
        <v>1850</v>
      </c>
      <c r="D599" s="9" t="s">
        <v>1851</v>
      </c>
      <c r="E599" s="10" t="str">
        <f>HYPERLINK("https://twitter.com/asturgaucho/status/1065577664025640961","1065577664025640961")</f>
        <v>1065577664025640961</v>
      </c>
      <c r="F599" s="11" t="s">
        <v>292</v>
      </c>
      <c r="G599" s="12"/>
      <c r="H599" s="12"/>
      <c r="I599" s="13">
        <v>0</v>
      </c>
      <c r="J599" s="13">
        <v>0</v>
      </c>
      <c r="K599" s="14" t="str">
        <f>HYPERLINK("http://twitter.com/download/android","Twitter for Android")</f>
        <v>Twitter for Android</v>
      </c>
      <c r="L599" s="13">
        <v>515</v>
      </c>
      <c r="M599" s="13">
        <v>1136</v>
      </c>
      <c r="N599" s="13">
        <v>0</v>
      </c>
      <c r="O599" s="15"/>
      <c r="P599" s="6">
        <v>40788.630208333336</v>
      </c>
      <c r="Q599" s="17" t="s">
        <v>1852</v>
      </c>
      <c r="R599" s="16" t="s">
        <v>1853</v>
      </c>
      <c r="S599" s="12"/>
      <c r="T599" s="12"/>
      <c r="U599" s="10" t="str">
        <f>HYPERLINK("https://pbs.twimg.com/profile_images/2771653892/d23945d780cb7b6376b83fc583d90f5b.jpeg","View")</f>
        <v>View</v>
      </c>
    </row>
    <row r="600" spans="1:21" ht="30.6">
      <c r="A600" s="6">
        <v>43426.172013888892</v>
      </c>
      <c r="B600" s="7" t="str">
        <f>HYPERLINK("https://twitter.com/ontibe","@ontibe")</f>
        <v>@ontibe</v>
      </c>
      <c r="C600" s="8" t="s">
        <v>2275</v>
      </c>
      <c r="D600" s="9" t="s">
        <v>2276</v>
      </c>
      <c r="E600" s="10" t="str">
        <f>HYPERLINK("https://twitter.com/ontibe/status/1065577560342491136","1065577560342491136")</f>
        <v>1065577560342491136</v>
      </c>
      <c r="F600" s="11" t="s">
        <v>1169</v>
      </c>
      <c r="G600" s="12"/>
      <c r="H600" s="12"/>
      <c r="I600" s="13">
        <v>0</v>
      </c>
      <c r="J600" s="13">
        <v>0</v>
      </c>
      <c r="K600" s="14" t="str">
        <f t="shared" ref="K600:K601" si="123">HYPERLINK("http://twitter.com","Twitter Web Client")</f>
        <v>Twitter Web Client</v>
      </c>
      <c r="L600" s="13">
        <v>432</v>
      </c>
      <c r="M600" s="13">
        <v>1265</v>
      </c>
      <c r="N600" s="13">
        <v>1</v>
      </c>
      <c r="O600" s="15"/>
      <c r="P600" s="6">
        <v>40673.252766203703</v>
      </c>
      <c r="Q600" s="17" t="s">
        <v>2277</v>
      </c>
      <c r="R600" s="16" t="s">
        <v>2278</v>
      </c>
      <c r="S600" s="12"/>
      <c r="T600" s="12"/>
      <c r="U600" s="10" t="str">
        <f>HYPERLINK("https://pbs.twimg.com/profile_images/867069058037972993/9c2-Wrp7.jpg","View")</f>
        <v>View</v>
      </c>
    </row>
    <row r="601" spans="1:21" ht="30.6">
      <c r="A601" s="6">
        <v>43426.171655092592</v>
      </c>
      <c r="B601" s="7" t="str">
        <f>HYPERLINK("https://twitter.com/Alberto_Gomez","@Alberto_Gomez")</f>
        <v>@Alberto_Gomez</v>
      </c>
      <c r="C601" s="8" t="s">
        <v>2279</v>
      </c>
      <c r="D601" s="9" t="s">
        <v>2280</v>
      </c>
      <c r="E601" s="10" t="str">
        <f>HYPERLINK("https://twitter.com/Alberto_Gomez/status/1065577431564779521","1065577431564779521")</f>
        <v>1065577431564779521</v>
      </c>
      <c r="F601" s="11" t="s">
        <v>962</v>
      </c>
      <c r="G601" s="12"/>
      <c r="H601" s="12"/>
      <c r="I601" s="13">
        <v>0</v>
      </c>
      <c r="J601" s="13">
        <v>0</v>
      </c>
      <c r="K601" s="14" t="str">
        <f t="shared" si="123"/>
        <v>Twitter Web Client</v>
      </c>
      <c r="L601" s="13">
        <v>980</v>
      </c>
      <c r="M601" s="13">
        <v>978</v>
      </c>
      <c r="N601" s="13">
        <v>24</v>
      </c>
      <c r="O601" s="15"/>
      <c r="P601" s="6">
        <v>39825.122094907405</v>
      </c>
      <c r="Q601" s="12"/>
      <c r="R601" s="16" t="s">
        <v>2281</v>
      </c>
      <c r="S601" s="11" t="s">
        <v>2282</v>
      </c>
      <c r="T601" s="12"/>
      <c r="U601" s="10" t="str">
        <f>HYPERLINK("https://pbs.twimg.com/profile_images/2298118940/n1syq3j6iuo4xayioaxj.jpeg","View")</f>
        <v>View</v>
      </c>
    </row>
    <row r="602" spans="1:21" ht="40.799999999999997">
      <c r="A602" s="6">
        <v>43426.17119212963</v>
      </c>
      <c r="B602" s="7" t="str">
        <f>HYPERLINK("https://twitter.com/leotaxil","@leotaxil")</f>
        <v>@leotaxil</v>
      </c>
      <c r="C602" s="8" t="s">
        <v>2283</v>
      </c>
      <c r="D602" s="9" t="s">
        <v>2284</v>
      </c>
      <c r="E602" s="10" t="str">
        <f>HYPERLINK("https://twitter.com/leotaxil/status/1065577261057888261","1065577261057888261")</f>
        <v>1065577261057888261</v>
      </c>
      <c r="F602" s="12"/>
      <c r="G602" s="12"/>
      <c r="H602" s="12"/>
      <c r="I602" s="13">
        <v>1</v>
      </c>
      <c r="J602" s="13">
        <v>3</v>
      </c>
      <c r="K602" s="14" t="str">
        <f>HYPERLINK("http://twitter.com/download/android","Twitter for Android")</f>
        <v>Twitter for Android</v>
      </c>
      <c r="L602" s="13">
        <v>19295</v>
      </c>
      <c r="M602" s="13">
        <v>4289</v>
      </c>
      <c r="N602" s="13">
        <v>226</v>
      </c>
      <c r="O602" s="15"/>
      <c r="P602" s="6">
        <v>40579.177893518521</v>
      </c>
      <c r="Q602" s="17" t="s">
        <v>2285</v>
      </c>
      <c r="R602" s="16" t="s">
        <v>2286</v>
      </c>
      <c r="S602" s="11" t="s">
        <v>2287</v>
      </c>
      <c r="T602" s="12"/>
      <c r="U602" s="10" t="str">
        <f>HYPERLINK("https://pbs.twimg.com/profile_images/935254820939759616/fi-Rcz44.jpg","View")</f>
        <v>View</v>
      </c>
    </row>
    <row r="603" spans="1:21" ht="40.799999999999997">
      <c r="A603" s="6">
        <v>43426.170787037037</v>
      </c>
      <c r="B603" s="7" t="str">
        <f>HYPERLINK("https://twitter.com/FCASANOVAMP","@FCASANOVAMP")</f>
        <v>@FCASANOVAMP</v>
      </c>
      <c r="C603" s="8" t="s">
        <v>1522</v>
      </c>
      <c r="D603" s="9" t="s">
        <v>2288</v>
      </c>
      <c r="E603" s="10" t="str">
        <f>HYPERLINK("https://twitter.com/FCASANOVAMP/status/1065577115897208833","1065577115897208833")</f>
        <v>1065577115897208833</v>
      </c>
      <c r="F603" s="12"/>
      <c r="G603" s="12"/>
      <c r="H603" s="12"/>
      <c r="I603" s="13">
        <v>1</v>
      </c>
      <c r="J603" s="13">
        <v>2</v>
      </c>
      <c r="K603" s="14" t="str">
        <f>HYPERLINK("http://twitter.com/download/iphone","Twitter for iPhone")</f>
        <v>Twitter for iPhone</v>
      </c>
      <c r="L603" s="13">
        <v>547</v>
      </c>
      <c r="M603" s="13">
        <v>994</v>
      </c>
      <c r="N603" s="13">
        <v>8</v>
      </c>
      <c r="O603" s="15"/>
      <c r="P603" s="6">
        <v>40851.125185185185</v>
      </c>
      <c r="Q603" s="17" t="s">
        <v>1526</v>
      </c>
      <c r="R603" s="16" t="s">
        <v>1527</v>
      </c>
      <c r="S603" s="12"/>
      <c r="T603" s="12"/>
      <c r="U603" s="10" t="str">
        <f>HYPERLINK("https://pbs.twimg.com/profile_images/506173861214552065/0X-ZRk8D.png","View")</f>
        <v>View</v>
      </c>
    </row>
    <row r="604" spans="1:21" ht="30.6">
      <c r="A604" s="6">
        <v>43426.170219907406</v>
      </c>
      <c r="B604" s="7" t="str">
        <f>HYPERLINK("https://twitter.com/mmoli588","@mmoli588")</f>
        <v>@mmoli588</v>
      </c>
      <c r="C604" s="8" t="s">
        <v>2292</v>
      </c>
      <c r="D604" s="9" t="s">
        <v>266</v>
      </c>
      <c r="E604" s="10" t="str">
        <f>HYPERLINK("https://twitter.com/mmoli588/status/1065576908769898496","1065576908769898496")</f>
        <v>1065576908769898496</v>
      </c>
      <c r="F604" s="11" t="s">
        <v>292</v>
      </c>
      <c r="G604" s="12"/>
      <c r="H604" s="12"/>
      <c r="I604" s="13">
        <v>0</v>
      </c>
      <c r="J604" s="13">
        <v>0</v>
      </c>
      <c r="K604" s="14" t="str">
        <f>HYPERLINK("http://twitter.com/download/android","Twitter for Android")</f>
        <v>Twitter for Android</v>
      </c>
      <c r="L604" s="13">
        <v>3323</v>
      </c>
      <c r="M604" s="13">
        <v>4998</v>
      </c>
      <c r="N604" s="13">
        <v>162</v>
      </c>
      <c r="O604" s="15"/>
      <c r="P604" s="6">
        <v>41523.261273148149</v>
      </c>
      <c r="Q604" s="17" t="s">
        <v>2294</v>
      </c>
      <c r="R604" s="16" t="s">
        <v>2295</v>
      </c>
      <c r="S604" s="12"/>
      <c r="T604" s="12"/>
      <c r="U604" s="10" t="str">
        <f>HYPERLINK("https://pbs.twimg.com/profile_images/880415789253308417/9xuOvLtl.jpg","View")</f>
        <v>View</v>
      </c>
    </row>
    <row r="605" spans="1:21" ht="30.6">
      <c r="A605" s="6">
        <v>43426.169178240743</v>
      </c>
      <c r="B605" s="7" t="str">
        <f>HYPERLINK("https://twitter.com/rss_noticias","@rss_noticias")</f>
        <v>@rss_noticias</v>
      </c>
      <c r="C605" s="8" t="s">
        <v>917</v>
      </c>
      <c r="D605" s="9" t="s">
        <v>2298</v>
      </c>
      <c r="E605" s="10" t="str">
        <f>HYPERLINK("https://twitter.com/rss_noticias/status/1065576533094477825","1065576533094477825")</f>
        <v>1065576533094477825</v>
      </c>
      <c r="F605" s="11" t="s">
        <v>2299</v>
      </c>
      <c r="G605" s="12"/>
      <c r="H605" s="12"/>
      <c r="I605" s="13">
        <v>0</v>
      </c>
      <c r="J605" s="13">
        <v>0</v>
      </c>
      <c r="K605" s="14" t="str">
        <f>HYPERLINK("https://ifttt.com","IFTTT")</f>
        <v>IFTTT</v>
      </c>
      <c r="L605" s="13">
        <v>130</v>
      </c>
      <c r="M605" s="13">
        <v>1</v>
      </c>
      <c r="N605" s="13">
        <v>2</v>
      </c>
      <c r="O605" s="15"/>
      <c r="P605" s="6">
        <v>43425.541296296295</v>
      </c>
      <c r="Q605" s="17" t="s">
        <v>920</v>
      </c>
      <c r="R605" s="16" t="s">
        <v>921</v>
      </c>
      <c r="S605" s="12"/>
      <c r="T605" s="12"/>
      <c r="U605" s="10" t="str">
        <f>HYPERLINK("https://pbs.twimg.com/profile_images/1065358148377153542/OtJ5HtwI.jpg","View")</f>
        <v>View</v>
      </c>
    </row>
    <row r="606" spans="1:21" ht="40.799999999999997">
      <c r="A606" s="6">
        <v>43426.165381944447</v>
      </c>
      <c r="B606" s="7" t="str">
        <f>HYPERLINK("https://twitter.com/VeoInfo_","@VeoInfo_")</f>
        <v>@VeoInfo_</v>
      </c>
      <c r="C606" s="8" t="s">
        <v>517</v>
      </c>
      <c r="D606" s="9" t="s">
        <v>1328</v>
      </c>
      <c r="E606" s="10" t="str">
        <f>HYPERLINK("https://twitter.com/VeoInfo_/status/1065575158809837569","1065575158809837569")</f>
        <v>1065575158809837569</v>
      </c>
      <c r="F606" s="11" t="s">
        <v>2300</v>
      </c>
      <c r="G606" s="11" t="s">
        <v>2301</v>
      </c>
      <c r="H606" s="12"/>
      <c r="I606" s="13">
        <v>0</v>
      </c>
      <c r="J606" s="13">
        <v>0</v>
      </c>
      <c r="K606" s="14" t="str">
        <f>HYPERLINK("http://publicize.wp.com/","WordPress.com")</f>
        <v>WordPress.com</v>
      </c>
      <c r="L606" s="13">
        <v>1135</v>
      </c>
      <c r="M606" s="13">
        <v>1139</v>
      </c>
      <c r="N606" s="13">
        <v>36</v>
      </c>
      <c r="O606" s="15"/>
      <c r="P606" s="6">
        <v>41880.726840277777</v>
      </c>
      <c r="Q606" s="17" t="s">
        <v>520</v>
      </c>
      <c r="R606" s="16" t="s">
        <v>521</v>
      </c>
      <c r="S606" s="11" t="s">
        <v>522</v>
      </c>
      <c r="T606" s="12"/>
      <c r="U606" s="10" t="str">
        <f>HYPERLINK("https://pbs.twimg.com/profile_images/601509372305485827/Val0dfGy.png","View")</f>
        <v>View</v>
      </c>
    </row>
    <row r="607" spans="1:21" ht="30.6">
      <c r="A607" s="6">
        <v>43426.165138888886</v>
      </c>
      <c r="B607" s="7" t="str">
        <f>HYPERLINK("https://twitter.com/1906estrella","@1906estrella")</f>
        <v>@1906estrella</v>
      </c>
      <c r="C607" s="8" t="s">
        <v>2302</v>
      </c>
      <c r="D607" s="9" t="s">
        <v>2303</v>
      </c>
      <c r="E607" s="10" t="str">
        <f>HYPERLINK("https://twitter.com/1906estrella/status/1065575069148172288","1065575069148172288")</f>
        <v>1065575069148172288</v>
      </c>
      <c r="F607" s="11" t="s">
        <v>292</v>
      </c>
      <c r="G607" s="12"/>
      <c r="H607" s="12"/>
      <c r="I607" s="13">
        <v>0</v>
      </c>
      <c r="J607" s="13">
        <v>0</v>
      </c>
      <c r="K607" s="14" t="str">
        <f>HYPERLINK("http://twitter.com/download/android","Twitter for Android")</f>
        <v>Twitter for Android</v>
      </c>
      <c r="L607" s="13">
        <v>1075</v>
      </c>
      <c r="M607" s="13">
        <v>1127</v>
      </c>
      <c r="N607" s="13">
        <v>3</v>
      </c>
      <c r="O607" s="15"/>
      <c r="P607" s="6">
        <v>41509.085347222222</v>
      </c>
      <c r="Q607" s="12"/>
      <c r="R607" s="16" t="s">
        <v>2304</v>
      </c>
      <c r="S607" s="12"/>
      <c r="T607" s="12"/>
      <c r="U607" s="10" t="str">
        <f>HYPERLINK("https://pbs.twimg.com/profile_images/879261390317473792/YTf4UjS1.jpg","View")</f>
        <v>View</v>
      </c>
    </row>
    <row r="608" spans="1:21" ht="51">
      <c r="A608" s="6">
        <v>43426.163854166662</v>
      </c>
      <c r="B608" s="7" t="str">
        <f>HYPERLINK("https://twitter.com/hartamilveces","@hartamilveces")</f>
        <v>@hartamilveces</v>
      </c>
      <c r="C608" s="8" t="s">
        <v>2305</v>
      </c>
      <c r="D608" s="9" t="s">
        <v>2306</v>
      </c>
      <c r="E608" s="10" t="str">
        <f>HYPERLINK("https://twitter.com/hartamilveces/status/1065574603748196352","1065574603748196352")</f>
        <v>1065574603748196352</v>
      </c>
      <c r="F608" s="12"/>
      <c r="G608" s="12"/>
      <c r="H608" s="12"/>
      <c r="I608" s="13">
        <v>1</v>
      </c>
      <c r="J608" s="13">
        <v>1</v>
      </c>
      <c r="K608" s="14" t="str">
        <f>HYPERLINK("http://twitter.com/#!/download/ipad","Twitter for iPad")</f>
        <v>Twitter for iPad</v>
      </c>
      <c r="L608" s="13">
        <v>15</v>
      </c>
      <c r="M608" s="13">
        <v>116</v>
      </c>
      <c r="N608" s="13">
        <v>0</v>
      </c>
      <c r="O608" s="15"/>
      <c r="P608" s="6">
        <v>41468.14979166667</v>
      </c>
      <c r="Q608" s="12"/>
      <c r="R608" s="18"/>
      <c r="S608" s="12"/>
      <c r="T608" s="12"/>
      <c r="U608" s="10" t="str">
        <f>HYPERLINK("https://pbs.twimg.com/profile_images/1021504946833899520/VTwug2U7.jpg","View")</f>
        <v>View</v>
      </c>
    </row>
    <row r="609" spans="1:21" ht="30.6">
      <c r="A609" s="6">
        <v>43426.162129629629</v>
      </c>
      <c r="B609" s="7" t="str">
        <f>HYPERLINK("https://twitter.com/RamonMLGA","@RamonMLGA")</f>
        <v>@RamonMLGA</v>
      </c>
      <c r="C609" s="8" t="s">
        <v>831</v>
      </c>
      <c r="D609" s="9" t="s">
        <v>2307</v>
      </c>
      <c r="E609" s="10" t="str">
        <f>HYPERLINK("https://twitter.com/RamonMLGA/status/1065573976888479744","1065573976888479744")</f>
        <v>1065573976888479744</v>
      </c>
      <c r="F609" s="11" t="s">
        <v>1881</v>
      </c>
      <c r="G609" s="12"/>
      <c r="H609" s="12"/>
      <c r="I609" s="13">
        <v>0</v>
      </c>
      <c r="J609" s="13">
        <v>3</v>
      </c>
      <c r="K609" s="14" t="str">
        <f>HYPERLINK("http://twitter.com/download/iphone","Twitter for iPhone")</f>
        <v>Twitter for iPhone</v>
      </c>
      <c r="L609" s="13">
        <v>9937</v>
      </c>
      <c r="M609" s="13">
        <v>5134</v>
      </c>
      <c r="N609" s="13">
        <v>82</v>
      </c>
      <c r="O609" s="15"/>
      <c r="P609" s="6">
        <v>41993.259409722217</v>
      </c>
      <c r="Q609" s="17" t="s">
        <v>506</v>
      </c>
      <c r="R609" s="16" t="s">
        <v>832</v>
      </c>
      <c r="S609" s="11" t="s">
        <v>833</v>
      </c>
      <c r="T609" s="12"/>
      <c r="U609" s="10" t="str">
        <f>HYPERLINK("https://pbs.twimg.com/profile_images/1064883832757866496/YwnWCi4f.jpg","View")</f>
        <v>View</v>
      </c>
    </row>
    <row r="610" spans="1:21" ht="51">
      <c r="A610" s="6">
        <v>43426.158912037034</v>
      </c>
      <c r="B610" s="7" t="str">
        <f>HYPERLINK("https://twitter.com/JotaPGalindo","@JotaPGalindo")</f>
        <v>@JotaPGalindo</v>
      </c>
      <c r="C610" s="8" t="s">
        <v>2308</v>
      </c>
      <c r="D610" s="9" t="s">
        <v>2309</v>
      </c>
      <c r="E610" s="10" t="str">
        <f>HYPERLINK("https://twitter.com/JotaPGalindo/status/1065572811496964096","1065572811496964096")</f>
        <v>1065572811496964096</v>
      </c>
      <c r="F610" s="11" t="s">
        <v>962</v>
      </c>
      <c r="G610" s="12"/>
      <c r="H610" s="12"/>
      <c r="I610" s="13">
        <v>1</v>
      </c>
      <c r="J610" s="13">
        <v>4</v>
      </c>
      <c r="K610" s="14" t="str">
        <f>HYPERLINK("http://twitter.com","Twitter Web Client")</f>
        <v>Twitter Web Client</v>
      </c>
      <c r="L610" s="13">
        <v>1379</v>
      </c>
      <c r="M610" s="13">
        <v>606</v>
      </c>
      <c r="N610" s="13">
        <v>14</v>
      </c>
      <c r="O610" s="15"/>
      <c r="P610" s="6">
        <v>40872.188333333332</v>
      </c>
      <c r="Q610" s="17" t="s">
        <v>2310</v>
      </c>
      <c r="R610" s="16" t="s">
        <v>2311</v>
      </c>
      <c r="S610" s="12"/>
      <c r="T610" s="12"/>
      <c r="U610" s="10" t="str">
        <f>HYPERLINK("https://pbs.twimg.com/profile_images/1006473849767124992/2--2bh3x.jpg","View")</f>
        <v>View</v>
      </c>
    </row>
    <row r="611" spans="1:21" ht="20.399999999999999">
      <c r="A611" s="6">
        <v>43426.157916666663</v>
      </c>
      <c r="B611" s="7" t="str">
        <f>HYPERLINK("https://twitter.com/vicentcreu","@vicentcreu")</f>
        <v>@vicentcreu</v>
      </c>
      <c r="C611" s="8" t="s">
        <v>2312</v>
      </c>
      <c r="D611" s="9" t="s">
        <v>2313</v>
      </c>
      <c r="E611" s="10" t="str">
        <f>HYPERLINK("https://twitter.com/vicentcreu/status/1065572450925191173","1065572450925191173")</f>
        <v>1065572450925191173</v>
      </c>
      <c r="F611" s="12"/>
      <c r="G611" s="12"/>
      <c r="H611" s="12"/>
      <c r="I611" s="13">
        <v>0</v>
      </c>
      <c r="J611" s="13">
        <v>0</v>
      </c>
      <c r="K611" s="14" t="str">
        <f>HYPERLINK("http://twitter.com/download/android","Twitter for Android")</f>
        <v>Twitter for Android</v>
      </c>
      <c r="L611" s="13">
        <v>65</v>
      </c>
      <c r="M611" s="13">
        <v>16</v>
      </c>
      <c r="N611" s="13">
        <v>7</v>
      </c>
      <c r="O611" s="15"/>
      <c r="P611" s="6">
        <v>42451.568113425921</v>
      </c>
      <c r="Q611" s="12"/>
      <c r="R611" s="16" t="s">
        <v>2314</v>
      </c>
      <c r="S611" s="12"/>
      <c r="T611" s="12"/>
      <c r="U611" s="10" t="str">
        <f>HYPERLINK("https://pbs.twimg.com/profile_images/716010803296608257/EZqX_FO6.jpg","View")</f>
        <v>View</v>
      </c>
    </row>
    <row r="612" spans="1:21" ht="51">
      <c r="A612" s="6">
        <v>43426.156967592593</v>
      </c>
      <c r="B612" s="7" t="str">
        <f>HYPERLINK("https://twitter.com/Marsais_","@Marsais_")</f>
        <v>@Marsais_</v>
      </c>
      <c r="C612" s="8" t="s">
        <v>2315</v>
      </c>
      <c r="D612" s="9" t="s">
        <v>2316</v>
      </c>
      <c r="E612" s="10" t="str">
        <f>HYPERLINK("https://twitter.com/Marsais_/status/1065572106686132224","1065572106686132224")</f>
        <v>1065572106686132224</v>
      </c>
      <c r="F612" s="11" t="s">
        <v>2317</v>
      </c>
      <c r="G612" s="12"/>
      <c r="H612" s="12"/>
      <c r="I612" s="13">
        <v>3</v>
      </c>
      <c r="J612" s="13">
        <v>3</v>
      </c>
      <c r="K612" s="14" t="str">
        <f>HYPERLINK("http://twitter.com/download/iphone","Twitter for iPhone")</f>
        <v>Twitter for iPhone</v>
      </c>
      <c r="L612" s="13">
        <v>4987</v>
      </c>
      <c r="M612" s="13">
        <v>2731</v>
      </c>
      <c r="N612" s="13">
        <v>78</v>
      </c>
      <c r="O612" s="15"/>
      <c r="P612" s="6">
        <v>41231.556226851855</v>
      </c>
      <c r="Q612" s="12"/>
      <c r="R612" s="16" t="s">
        <v>2318</v>
      </c>
      <c r="S612" s="12"/>
      <c r="T612" s="12"/>
      <c r="U612" s="10" t="str">
        <f>HYPERLINK("https://pbs.twimg.com/profile_images/1013104870231019524/WAVt62BE.jpg","View")</f>
        <v>View</v>
      </c>
    </row>
    <row r="613" spans="1:21" ht="51">
      <c r="A613" s="6">
        <v>43426.156759259262</v>
      </c>
      <c r="B613" s="7" t="str">
        <f>HYPERLINK("https://twitter.com/Fercruz77","@Fercruz77")</f>
        <v>@Fercruz77</v>
      </c>
      <c r="C613" s="8" t="s">
        <v>2319</v>
      </c>
      <c r="D613" s="9" t="s">
        <v>2320</v>
      </c>
      <c r="E613" s="10" t="str">
        <f>HYPERLINK("https://twitter.com/Fercruz77/status/1065572031406706689","1065572031406706689")</f>
        <v>1065572031406706689</v>
      </c>
      <c r="F613" s="12"/>
      <c r="G613" s="12"/>
      <c r="H613" s="12"/>
      <c r="I613" s="13">
        <v>0</v>
      </c>
      <c r="J613" s="13">
        <v>1</v>
      </c>
      <c r="K613" s="14" t="str">
        <f t="shared" ref="K613:K615" si="124">HYPERLINK("http://twitter.com","Twitter Web Client")</f>
        <v>Twitter Web Client</v>
      </c>
      <c r="L613" s="13">
        <v>745</v>
      </c>
      <c r="M613" s="13">
        <v>3658</v>
      </c>
      <c r="N613" s="13">
        <v>38</v>
      </c>
      <c r="O613" s="15"/>
      <c r="P613" s="6">
        <v>41652.210497685184</v>
      </c>
      <c r="Q613" s="17" t="s">
        <v>26</v>
      </c>
      <c r="R613" s="16" t="s">
        <v>2321</v>
      </c>
      <c r="S613" s="12"/>
      <c r="T613" s="12"/>
      <c r="U613" s="10" t="str">
        <f>HYPERLINK("https://pbs.twimg.com/profile_images/1049259324344885248/EQhrpMOb.jpg","View")</f>
        <v>View</v>
      </c>
    </row>
    <row r="614" spans="1:21" ht="30.6">
      <c r="A614" s="6">
        <v>43426.156006944446</v>
      </c>
      <c r="B614" s="7" t="str">
        <f>HYPERLINK("https://twitter.com/ElHuffPost","@ElHuffPost")</f>
        <v>@ElHuffPost</v>
      </c>
      <c r="C614" s="8" t="s">
        <v>467</v>
      </c>
      <c r="D614" s="9" t="s">
        <v>468</v>
      </c>
      <c r="E614" s="10" t="str">
        <f>HYPERLINK("https://twitter.com/ElHuffPost/status/1065571759435452416","1065571759435452416")</f>
        <v>1065571759435452416</v>
      </c>
      <c r="F614" s="11" t="s">
        <v>469</v>
      </c>
      <c r="G614" s="11" t="s">
        <v>2263</v>
      </c>
      <c r="H614" s="12"/>
      <c r="I614" s="13">
        <v>2</v>
      </c>
      <c r="J614" s="13">
        <v>6</v>
      </c>
      <c r="K614" s="14" t="str">
        <f t="shared" si="124"/>
        <v>Twitter Web Client</v>
      </c>
      <c r="L614" s="13">
        <v>430323</v>
      </c>
      <c r="M614" s="13">
        <v>1532</v>
      </c>
      <c r="N614" s="13">
        <v>8186</v>
      </c>
      <c r="O614" s="19" t="s">
        <v>74</v>
      </c>
      <c r="P614" s="6">
        <v>40784.652118055557</v>
      </c>
      <c r="Q614" s="17" t="s">
        <v>203</v>
      </c>
      <c r="R614" s="16" t="s">
        <v>471</v>
      </c>
      <c r="S614" s="11" t="s">
        <v>472</v>
      </c>
      <c r="T614" s="12"/>
      <c r="U614" s="10" t="str">
        <f>HYPERLINK("https://pbs.twimg.com/profile_images/921140803422089217/ETOEUOAx.jpg","View")</f>
        <v>View</v>
      </c>
    </row>
    <row r="615" spans="1:21" ht="13.2">
      <c r="A615" s="6">
        <v>43426.15353009259</v>
      </c>
      <c r="B615" s="7" t="str">
        <f>HYPERLINK("https://twitter.com/Abu_el_ladron","@Abu_el_ladron")</f>
        <v>@Abu_el_ladron</v>
      </c>
      <c r="C615" s="8" t="s">
        <v>1903</v>
      </c>
      <c r="D615" s="9" t="s">
        <v>1904</v>
      </c>
      <c r="E615" s="10" t="str">
        <f>HYPERLINK("https://twitter.com/Abu_el_ladron/status/1065570863712481281","1065570863712481281")</f>
        <v>1065570863712481281</v>
      </c>
      <c r="F615" s="12"/>
      <c r="G615" s="11" t="s">
        <v>1905</v>
      </c>
      <c r="H615" s="12"/>
      <c r="I615" s="13">
        <v>0</v>
      </c>
      <c r="J615" s="13">
        <v>1</v>
      </c>
      <c r="K615" s="14" t="str">
        <f t="shared" si="124"/>
        <v>Twitter Web Client</v>
      </c>
      <c r="L615" s="13">
        <v>149</v>
      </c>
      <c r="M615" s="13">
        <v>493</v>
      </c>
      <c r="N615" s="13">
        <v>3</v>
      </c>
      <c r="O615" s="15"/>
      <c r="P615" s="6">
        <v>41922.105138888888</v>
      </c>
      <c r="Q615" s="12"/>
      <c r="R615" s="16" t="s">
        <v>1906</v>
      </c>
      <c r="S615" s="12"/>
      <c r="T615" s="12"/>
      <c r="U615" s="10" t="str">
        <f>HYPERLINK("https://pbs.twimg.com/profile_images/520519635775410176/PnfWPVHC.jpeg","View")</f>
        <v>View</v>
      </c>
    </row>
    <row r="616" spans="1:21" ht="20.399999999999999">
      <c r="A616" s="6">
        <v>43426.150011574078</v>
      </c>
      <c r="B616" s="7" t="str">
        <f>HYPERLINK("https://twitter.com/eldiarioes","@eldiarioes")</f>
        <v>@eldiarioes</v>
      </c>
      <c r="C616" s="20" t="s">
        <v>687</v>
      </c>
      <c r="D616" s="9" t="s">
        <v>1328</v>
      </c>
      <c r="E616" s="10" t="str">
        <f>HYPERLINK("https://twitter.com/eldiarioes/status/1065569585594679298","1065569585594679298")</f>
        <v>1065569585594679298</v>
      </c>
      <c r="F616" s="11" t="s">
        <v>962</v>
      </c>
      <c r="G616" s="11" t="s">
        <v>1089</v>
      </c>
      <c r="H616" s="12"/>
      <c r="I616" s="13">
        <v>60</v>
      </c>
      <c r="J616" s="13">
        <v>33</v>
      </c>
      <c r="K616" s="14" t="str">
        <f>HYPERLINK("https://about.twitter.com/products/tweetdeck","TweetDeck")</f>
        <v>TweetDeck</v>
      </c>
      <c r="L616" s="13">
        <v>936615</v>
      </c>
      <c r="M616" s="13">
        <v>456</v>
      </c>
      <c r="N616" s="13">
        <v>11235</v>
      </c>
      <c r="O616" s="19" t="s">
        <v>74</v>
      </c>
      <c r="P616" s="6">
        <v>40992.505856481483</v>
      </c>
      <c r="Q616" s="12"/>
      <c r="R616" s="16" t="s">
        <v>692</v>
      </c>
      <c r="S616" s="11" t="s">
        <v>693</v>
      </c>
      <c r="T616" s="12"/>
      <c r="U616" s="10" t="str">
        <f>HYPERLINK("https://pbs.twimg.com/profile_images/1016600645292511232/eYIkIK2s.jpg","View")</f>
        <v>View</v>
      </c>
    </row>
    <row r="617" spans="1:21" ht="40.799999999999997">
      <c r="A617" s="6">
        <v>43426.14634259259</v>
      </c>
      <c r="B617" s="7" t="str">
        <f>HYPERLINK("https://twitter.com/Poletegi35","@Poletegi35")</f>
        <v>@Poletegi35</v>
      </c>
      <c r="C617" s="8" t="s">
        <v>2322</v>
      </c>
      <c r="D617" s="9" t="s">
        <v>2323</v>
      </c>
      <c r="E617" s="10" t="str">
        <f>HYPERLINK("https://twitter.com/Poletegi35/status/1065568259083251712","1065568259083251712")</f>
        <v>1065568259083251712</v>
      </c>
      <c r="F617" s="11" t="s">
        <v>1881</v>
      </c>
      <c r="G617" s="12"/>
      <c r="H617" s="12"/>
      <c r="I617" s="13">
        <v>0</v>
      </c>
      <c r="J617" s="13">
        <v>0</v>
      </c>
      <c r="K617" s="14" t="str">
        <f>HYPERLINK("http://twitter.com/download/iphone","Twitter for iPhone")</f>
        <v>Twitter for iPhone</v>
      </c>
      <c r="L617" s="13">
        <v>472</v>
      </c>
      <c r="M617" s="13">
        <v>574</v>
      </c>
      <c r="N617" s="13">
        <v>17</v>
      </c>
      <c r="O617" s="15"/>
      <c r="P617" s="6">
        <v>40955.03361111111</v>
      </c>
      <c r="Q617" s="12"/>
      <c r="R617" s="16" t="s">
        <v>2324</v>
      </c>
      <c r="S617" s="12"/>
      <c r="T617" s="12"/>
      <c r="U617" s="10" t="str">
        <f>HYPERLINK("https://pbs.twimg.com/profile_images/859304958293938176/tydTvRL3.jpg","View")</f>
        <v>View</v>
      </c>
    </row>
    <row r="618" spans="1:21" ht="40.799999999999997">
      <c r="A618" s="6">
        <v>43426.144699074073</v>
      </c>
      <c r="B618" s="7" t="str">
        <f>HYPERLINK("https://twitter.com/Bernat_Castro","@Bernat_Castro")</f>
        <v>@Bernat_Castro</v>
      </c>
      <c r="C618" s="8" t="s">
        <v>2023</v>
      </c>
      <c r="D618" s="9" t="s">
        <v>2325</v>
      </c>
      <c r="E618" s="10" t="str">
        <f>HYPERLINK("https://twitter.com/Bernat_Castro/status/1065567660027592704","1065567660027592704")</f>
        <v>1065567660027592704</v>
      </c>
      <c r="F618" s="12"/>
      <c r="G618" s="11" t="s">
        <v>2326</v>
      </c>
      <c r="H618" s="12"/>
      <c r="I618" s="13">
        <v>407</v>
      </c>
      <c r="J618" s="13">
        <v>509</v>
      </c>
      <c r="K618" s="14" t="str">
        <f>HYPERLINK("http://twitter.com","Twitter Web Client")</f>
        <v>Twitter Web Client</v>
      </c>
      <c r="L618" s="13">
        <v>42985</v>
      </c>
      <c r="M618" s="13">
        <v>3005</v>
      </c>
      <c r="N618" s="13">
        <v>132</v>
      </c>
      <c r="O618" s="15"/>
      <c r="P618" s="6">
        <v>43201.218715277777</v>
      </c>
      <c r="Q618" s="17" t="s">
        <v>2027</v>
      </c>
      <c r="R618" s="16" t="s">
        <v>2028</v>
      </c>
      <c r="S618" s="11" t="s">
        <v>2029</v>
      </c>
      <c r="T618" s="12"/>
      <c r="U618" s="10" t="str">
        <f>HYPERLINK("https://pbs.twimg.com/profile_images/1059802564957483009/Cm2t_qW0.jpg","View")</f>
        <v>View</v>
      </c>
    </row>
    <row r="619" spans="1:21" ht="30.6">
      <c r="A619" s="6">
        <v>43426.144583333335</v>
      </c>
      <c r="B619" s="7" t="str">
        <f>HYPERLINK("https://twitter.com/bergabil94","@bergabil94")</f>
        <v>@bergabil94</v>
      </c>
      <c r="C619" s="8" t="s">
        <v>2327</v>
      </c>
      <c r="D619" s="9" t="s">
        <v>1328</v>
      </c>
      <c r="E619" s="10" t="str">
        <f>HYPERLINK("https://twitter.com/bergabil94/status/1065567621058359296","1065567621058359296")</f>
        <v>1065567621058359296</v>
      </c>
      <c r="F619" s="11" t="s">
        <v>2158</v>
      </c>
      <c r="G619" s="12"/>
      <c r="H619" s="12"/>
      <c r="I619" s="13">
        <v>0</v>
      </c>
      <c r="J619" s="13">
        <v>0</v>
      </c>
      <c r="K619" s="14" t="str">
        <f>HYPERLINK("https://ifttt.com","IFTTT")</f>
        <v>IFTTT</v>
      </c>
      <c r="L619" s="13">
        <v>64</v>
      </c>
      <c r="M619" s="13">
        <v>51</v>
      </c>
      <c r="N619" s="13">
        <v>3</v>
      </c>
      <c r="O619" s="15"/>
      <c r="P619" s="6">
        <v>42758.047662037032</v>
      </c>
      <c r="Q619" s="17" t="s">
        <v>26</v>
      </c>
      <c r="R619" s="16" t="s">
        <v>2328</v>
      </c>
      <c r="S619" s="12"/>
      <c r="T619" s="12"/>
      <c r="U619" s="10" t="str">
        <f>HYPERLINK("https://pbs.twimg.com/profile_images/823457736675459073/c35uioBB.jpg","View")</f>
        <v>View</v>
      </c>
    </row>
    <row r="620" spans="1:21" ht="40.799999999999997">
      <c r="A620" s="6">
        <v>43426.139120370368</v>
      </c>
      <c r="B620" s="7" t="str">
        <f>HYPERLINK("https://twitter.com/Pepe_Tron_B_M","@Pepe_Tron_B_M")</f>
        <v>@Pepe_Tron_B_M</v>
      </c>
      <c r="C620" s="8" t="s">
        <v>2329</v>
      </c>
      <c r="D620" s="9" t="s">
        <v>334</v>
      </c>
      <c r="E620" s="10" t="str">
        <f>HYPERLINK("https://twitter.com/Pepe_Tron_B_M/status/1065565640583462912","1065565640583462912")</f>
        <v>1065565640583462912</v>
      </c>
      <c r="F620" s="11" t="s">
        <v>335</v>
      </c>
      <c r="G620" s="12"/>
      <c r="H620" s="12"/>
      <c r="I620" s="13">
        <v>0</v>
      </c>
      <c r="J620" s="13">
        <v>0</v>
      </c>
      <c r="K620" s="14" t="str">
        <f>HYPERLINK("http://twitter.com","Twitter Web Client")</f>
        <v>Twitter Web Client</v>
      </c>
      <c r="L620" s="13">
        <v>1781</v>
      </c>
      <c r="M620" s="13">
        <v>1552</v>
      </c>
      <c r="N620" s="13">
        <v>11</v>
      </c>
      <c r="O620" s="15"/>
      <c r="P620" s="6">
        <v>42321.128877314812</v>
      </c>
      <c r="Q620" s="17" t="s">
        <v>2330</v>
      </c>
      <c r="R620" s="16" t="s">
        <v>2331</v>
      </c>
      <c r="S620" s="11" t="s">
        <v>2332</v>
      </c>
      <c r="T620" s="12"/>
      <c r="U620" s="10" t="str">
        <f>HYPERLINK("https://pbs.twimg.com/profile_images/927451522325237760/eDBdFQgq.jpg","View")</f>
        <v>View</v>
      </c>
    </row>
    <row r="621" spans="1:21" ht="20.399999999999999">
      <c r="A621" s="6">
        <v>43426.138611111106</v>
      </c>
      <c r="B621" s="7" t="str">
        <f>HYPERLINK("https://twitter.com/isaimarivent","@isaimarivent")</f>
        <v>@isaimarivent</v>
      </c>
      <c r="C621" s="8" t="s">
        <v>2333</v>
      </c>
      <c r="D621" s="9" t="s">
        <v>2334</v>
      </c>
      <c r="E621" s="10" t="str">
        <f>HYPERLINK("https://twitter.com/isaimarivent/status/1065565455765532672","1065565455765532672")</f>
        <v>1065565455765532672</v>
      </c>
      <c r="F621" s="11" t="s">
        <v>2335</v>
      </c>
      <c r="G621" s="12"/>
      <c r="H621" s="12"/>
      <c r="I621" s="13">
        <v>0</v>
      </c>
      <c r="J621" s="13">
        <v>0</v>
      </c>
      <c r="K621" s="14" t="str">
        <f>HYPERLINK("http://twitter.com/download/android","Twitter for Android")</f>
        <v>Twitter for Android</v>
      </c>
      <c r="L621" s="13">
        <v>3016</v>
      </c>
      <c r="M621" s="13">
        <v>3160</v>
      </c>
      <c r="N621" s="13">
        <v>44</v>
      </c>
      <c r="O621" s="15"/>
      <c r="P621" s="6">
        <v>41304.539363425924</v>
      </c>
      <c r="Q621" s="17" t="s">
        <v>29</v>
      </c>
      <c r="R621" s="16" t="s">
        <v>2336</v>
      </c>
      <c r="S621" s="12"/>
      <c r="T621" s="12"/>
      <c r="U621" s="10" t="str">
        <f>HYPERLINK("https://pbs.twimg.com/profile_images/480375296164495360/73o1mILY.jpeg","View")</f>
        <v>View</v>
      </c>
    </row>
    <row r="622" spans="1:21" ht="30.6">
      <c r="A622" s="6">
        <v>43426.138379629629</v>
      </c>
      <c r="B622" s="7" t="str">
        <f>HYPERLINK("https://twitter.com/Nil_AG1","@Nil_AG1")</f>
        <v>@Nil_AG1</v>
      </c>
      <c r="C622" s="8" t="s">
        <v>2337</v>
      </c>
      <c r="D622" s="9" t="s">
        <v>2338</v>
      </c>
      <c r="E622" s="10" t="str">
        <f>HYPERLINK("https://twitter.com/Nil_AG1/status/1065565371665694720","1065565371665694720")</f>
        <v>1065565371665694720</v>
      </c>
      <c r="F622" s="11" t="s">
        <v>320</v>
      </c>
      <c r="G622" s="12"/>
      <c r="H622" s="12"/>
      <c r="I622" s="13">
        <v>2</v>
      </c>
      <c r="J622" s="13">
        <v>1</v>
      </c>
      <c r="K622" s="14" t="str">
        <f>HYPERLINK("http://twitter.com","Twitter Web Client")</f>
        <v>Twitter Web Client</v>
      </c>
      <c r="L622" s="13">
        <v>8015</v>
      </c>
      <c r="M622" s="13">
        <v>7864</v>
      </c>
      <c r="N622" s="13">
        <v>45</v>
      </c>
      <c r="O622" s="15"/>
      <c r="P622" s="6">
        <v>42061.564988425926</v>
      </c>
      <c r="Q622" s="17" t="s">
        <v>2339</v>
      </c>
      <c r="R622" s="16" t="s">
        <v>2340</v>
      </c>
      <c r="S622" s="12"/>
      <c r="T622" s="12"/>
      <c r="U622" s="10" t="str">
        <f>HYPERLINK("https://pbs.twimg.com/profile_images/1058353715898388481/cVjX6oeB.jpg","View")</f>
        <v>View</v>
      </c>
    </row>
    <row r="623" spans="1:21" ht="40.799999999999997">
      <c r="A623" s="6">
        <v>43426.138043981482</v>
      </c>
      <c r="B623" s="7" t="str">
        <f>HYPERLINK("https://twitter.com/camaraldo","@camaraldo")</f>
        <v>@camaraldo</v>
      </c>
      <c r="C623" s="8" t="s">
        <v>2341</v>
      </c>
      <c r="D623" s="9" t="s">
        <v>2342</v>
      </c>
      <c r="E623" s="10" t="str">
        <f>HYPERLINK("https://twitter.com/camaraldo/status/1065565248332185600","1065565248332185600")</f>
        <v>1065565248332185600</v>
      </c>
      <c r="F623" s="11" t="s">
        <v>1927</v>
      </c>
      <c r="G623" s="12"/>
      <c r="H623" s="12"/>
      <c r="I623" s="13">
        <v>0</v>
      </c>
      <c r="J623" s="13">
        <v>0</v>
      </c>
      <c r="K623" s="14" t="str">
        <f>HYPERLINK("http://twitter.com/download/android","Twitter for Android")</f>
        <v>Twitter for Android</v>
      </c>
      <c r="L623" s="13">
        <v>61</v>
      </c>
      <c r="M623" s="13">
        <v>212</v>
      </c>
      <c r="N623" s="13">
        <v>0</v>
      </c>
      <c r="O623" s="15"/>
      <c r="P623" s="6">
        <v>42832.123020833329</v>
      </c>
      <c r="Q623" s="17" t="s">
        <v>2343</v>
      </c>
      <c r="R623" s="16" t="s">
        <v>2344</v>
      </c>
      <c r="S623" s="12"/>
      <c r="T623" s="12"/>
      <c r="U623" s="10" t="str">
        <f>HYPERLINK("https://pbs.twimg.com/profile_images/852978072844464129/_6zOroe2.jpg","View")</f>
        <v>View</v>
      </c>
    </row>
    <row r="624" spans="1:21" ht="30.6">
      <c r="A624" s="6">
        <v>43426.136874999997</v>
      </c>
      <c r="B624" s="7" t="str">
        <f>HYPERLINK("https://twitter.com/JGFrontelo1","@JGFrontelo1")</f>
        <v>@JGFrontelo1</v>
      </c>
      <c r="C624" s="8" t="s">
        <v>2345</v>
      </c>
      <c r="D624" s="9" t="s">
        <v>2346</v>
      </c>
      <c r="E624" s="10" t="str">
        <f>HYPERLINK("https://twitter.com/JGFrontelo1/status/1065564826703982592","1065564826703982592")</f>
        <v>1065564826703982592</v>
      </c>
      <c r="F624" s="12"/>
      <c r="G624" s="12"/>
      <c r="H624" s="12"/>
      <c r="I624" s="13">
        <v>1</v>
      </c>
      <c r="J624" s="13">
        <v>1</v>
      </c>
      <c r="K624" s="14" t="str">
        <f t="shared" ref="K624:K625" si="125">HYPERLINK("http://twitter.com","Twitter Web Client")</f>
        <v>Twitter Web Client</v>
      </c>
      <c r="L624" s="13">
        <v>2222</v>
      </c>
      <c r="M624" s="13">
        <v>2898</v>
      </c>
      <c r="N624" s="13">
        <v>16</v>
      </c>
      <c r="O624" s="15"/>
      <c r="P624" s="6">
        <v>42583.953368055554</v>
      </c>
      <c r="Q624" s="12"/>
      <c r="R624" s="16" t="s">
        <v>2347</v>
      </c>
      <c r="S624" s="12"/>
      <c r="T624" s="12"/>
      <c r="U624" s="10" t="str">
        <f>HYPERLINK("https://pbs.twimg.com/profile_images/1063156674171752448/USHRkNAF.jpg","View")</f>
        <v>View</v>
      </c>
    </row>
    <row r="625" spans="1:21" ht="40.799999999999997">
      <c r="A625" s="6">
        <v>43426.136157407411</v>
      </c>
      <c r="B625" s="7" t="str">
        <f>HYPERLINK("https://twitter.com/Aalegre_Alberto","@Aalegre_Alberto")</f>
        <v>@Aalegre_Alberto</v>
      </c>
      <c r="C625" s="8" t="s">
        <v>2348</v>
      </c>
      <c r="D625" s="9" t="s">
        <v>2349</v>
      </c>
      <c r="E625" s="10" t="str">
        <f>HYPERLINK("https://twitter.com/Aalegre_Alberto/status/1065564564480233473","1065564564480233473")</f>
        <v>1065564564480233473</v>
      </c>
      <c r="F625" s="12"/>
      <c r="G625" s="12"/>
      <c r="H625" s="12"/>
      <c r="I625" s="13">
        <v>0</v>
      </c>
      <c r="J625" s="13">
        <v>2</v>
      </c>
      <c r="K625" s="14" t="str">
        <f t="shared" si="125"/>
        <v>Twitter Web Client</v>
      </c>
      <c r="L625" s="13">
        <v>148</v>
      </c>
      <c r="M625" s="13">
        <v>745</v>
      </c>
      <c r="N625" s="13">
        <v>2</v>
      </c>
      <c r="O625" s="15"/>
      <c r="P625" s="6">
        <v>42209.471689814818</v>
      </c>
      <c r="Q625" s="17" t="s">
        <v>2350</v>
      </c>
      <c r="R625" s="16" t="s">
        <v>2351</v>
      </c>
      <c r="S625" s="12"/>
      <c r="T625" s="12"/>
      <c r="U625" s="10" t="str">
        <f>HYPERLINK("https://pbs.twimg.com/profile_images/1028578806175551488/oES6caNL.jpg","View")</f>
        <v>View</v>
      </c>
    </row>
    <row r="626" spans="1:21" ht="40.799999999999997">
      <c r="A626" s="6">
        <v>43426.134722222225</v>
      </c>
      <c r="B626" s="7" t="str">
        <f>HYPERLINK("https://twitter.com/pardeiro1965","@pardeiro1965")</f>
        <v>@pardeiro1965</v>
      </c>
      <c r="C626" s="8" t="s">
        <v>2352</v>
      </c>
      <c r="D626" s="9" t="s">
        <v>2353</v>
      </c>
      <c r="E626" s="10" t="str">
        <f>HYPERLINK("https://twitter.com/pardeiro1965/status/1065564044835397633","1065564044835397633")</f>
        <v>1065564044835397633</v>
      </c>
      <c r="F626" s="12"/>
      <c r="G626" s="12"/>
      <c r="H626" s="12"/>
      <c r="I626" s="13">
        <v>0</v>
      </c>
      <c r="J626" s="13">
        <v>1</v>
      </c>
      <c r="K626" s="14" t="str">
        <f t="shared" ref="K626:K627" si="126">HYPERLINK("http://twitter.com/download/android","Twitter for Android")</f>
        <v>Twitter for Android</v>
      </c>
      <c r="L626" s="13">
        <v>73</v>
      </c>
      <c r="M626" s="13">
        <v>243</v>
      </c>
      <c r="N626" s="13">
        <v>0</v>
      </c>
      <c r="O626" s="15"/>
      <c r="P626" s="6">
        <v>42698.112835648149</v>
      </c>
      <c r="Q626" s="17" t="s">
        <v>2354</v>
      </c>
      <c r="R626" s="16" t="s">
        <v>2355</v>
      </c>
      <c r="S626" s="12"/>
      <c r="T626" s="12"/>
      <c r="U626" s="10" t="str">
        <f>HYPERLINK("https://pbs.twimg.com/profile_images/989089891677097984/Ll60a3kO.jpg","View")</f>
        <v>View</v>
      </c>
    </row>
    <row r="627" spans="1:21" ht="40.799999999999997">
      <c r="A627" s="6">
        <v>43426.134201388893</v>
      </c>
      <c r="B627" s="7" t="str">
        <f>HYPERLINK("https://twitter.com/FelixEliasTava2","@FelixEliasTava2")</f>
        <v>@FelixEliasTava2</v>
      </c>
      <c r="C627" s="8" t="s">
        <v>2356</v>
      </c>
      <c r="D627" s="9" t="s">
        <v>2357</v>
      </c>
      <c r="E627" s="10" t="str">
        <f>HYPERLINK("https://twitter.com/FelixEliasTava2/status/1065563857911975936","1065563857911975936")</f>
        <v>1065563857911975936</v>
      </c>
      <c r="F627" s="12"/>
      <c r="G627" s="12"/>
      <c r="H627" s="12"/>
      <c r="I627" s="13">
        <v>0</v>
      </c>
      <c r="J627" s="13">
        <v>2</v>
      </c>
      <c r="K627" s="14" t="str">
        <f t="shared" si="126"/>
        <v>Twitter for Android</v>
      </c>
      <c r="L627" s="13">
        <v>1123</v>
      </c>
      <c r="M627" s="13">
        <v>509</v>
      </c>
      <c r="N627" s="13">
        <v>22</v>
      </c>
      <c r="O627" s="15"/>
      <c r="P627" s="6">
        <v>42366.081875000003</v>
      </c>
      <c r="Q627" s="12"/>
      <c r="R627" s="18"/>
      <c r="S627" s="12"/>
      <c r="T627" s="12"/>
      <c r="U627" s="10" t="str">
        <f>HYPERLINK("https://pbs.twimg.com/profile_images/1065715997674532865/dfcWpqai.jpg","View")</f>
        <v>View</v>
      </c>
    </row>
    <row r="628" spans="1:21" ht="81.599999999999994">
      <c r="A628" s="6">
        <v>43426.131307870368</v>
      </c>
      <c r="B628" s="7" t="str">
        <f>HYPERLINK("https://twitter.com/laura76135121","@laura76135121")</f>
        <v>@laura76135121</v>
      </c>
      <c r="C628" s="8" t="s">
        <v>2360</v>
      </c>
      <c r="D628" s="9" t="s">
        <v>2361</v>
      </c>
      <c r="E628" s="10" t="str">
        <f>HYPERLINK("https://twitter.com/laura76135121/status/1065562808098656256","1065562808098656256")</f>
        <v>1065562808098656256</v>
      </c>
      <c r="F628" s="17" t="s">
        <v>1758</v>
      </c>
      <c r="G628" s="12"/>
      <c r="H628" s="12"/>
      <c r="I628" s="13">
        <v>0</v>
      </c>
      <c r="J628" s="13">
        <v>0</v>
      </c>
      <c r="K628" s="14" t="str">
        <f>HYPERLINK("http://twitter.com","Twitter Web Client")</f>
        <v>Twitter Web Client</v>
      </c>
      <c r="L628" s="13">
        <v>433</v>
      </c>
      <c r="M628" s="13">
        <v>2179</v>
      </c>
      <c r="N628" s="13">
        <v>0</v>
      </c>
      <c r="O628" s="15"/>
      <c r="P628" s="6">
        <v>43078.468078703707</v>
      </c>
      <c r="Q628" s="12"/>
      <c r="R628" s="16" t="s">
        <v>2364</v>
      </c>
      <c r="S628" s="12"/>
      <c r="T628" s="12"/>
      <c r="U628" s="10" t="str">
        <f>HYPERLINK("https://pbs.twimg.com/profile_images/939577328828604417/u2Q3YJDk.jpg","View")</f>
        <v>View</v>
      </c>
    </row>
    <row r="629" spans="1:21" ht="51">
      <c r="A629" s="6">
        <v>43426.130694444444</v>
      </c>
      <c r="B629" s="7" t="str">
        <f>HYPERLINK("https://twitter.com/noahendrix","@noahendrix")</f>
        <v>@noahendrix</v>
      </c>
      <c r="C629" s="8" t="s">
        <v>2365</v>
      </c>
      <c r="D629" s="9" t="s">
        <v>2366</v>
      </c>
      <c r="E629" s="10" t="str">
        <f>HYPERLINK("https://twitter.com/noahendrix/status/1065562588422029312","1065562588422029312")</f>
        <v>1065562588422029312</v>
      </c>
      <c r="F629" s="12"/>
      <c r="G629" s="12"/>
      <c r="H629" s="12"/>
      <c r="I629" s="13">
        <v>0</v>
      </c>
      <c r="J629" s="13">
        <v>16</v>
      </c>
      <c r="K629" s="14" t="str">
        <f>HYPERLINK("http://twitter.com/download/android","Twitter for Android")</f>
        <v>Twitter for Android</v>
      </c>
      <c r="L629" s="13">
        <v>2284</v>
      </c>
      <c r="M629" s="13">
        <v>883</v>
      </c>
      <c r="N629" s="13">
        <v>46</v>
      </c>
      <c r="O629" s="15"/>
      <c r="P629" s="6">
        <v>40470.347233796296</v>
      </c>
      <c r="Q629" s="17" t="s">
        <v>2367</v>
      </c>
      <c r="R629" s="16" t="s">
        <v>2368</v>
      </c>
      <c r="S629" s="11" t="s">
        <v>2369</v>
      </c>
      <c r="T629" s="12"/>
      <c r="U629" s="10" t="str">
        <f>HYPERLINK("https://pbs.twimg.com/profile_images/1025874464792371201/ldJQBzAJ.jpg","View")</f>
        <v>View</v>
      </c>
    </row>
    <row r="630" spans="1:21" ht="20.399999999999999">
      <c r="A630" s="6">
        <v>43426.130243055552</v>
      </c>
      <c r="B630" s="7" t="str">
        <f>HYPERLINK("https://twitter.com/jcarloslh","@jcarloslh")</f>
        <v>@jcarloslh</v>
      </c>
      <c r="C630" s="8" t="s">
        <v>2370</v>
      </c>
      <c r="D630" s="9" t="s">
        <v>2371</v>
      </c>
      <c r="E630" s="10" t="str">
        <f>HYPERLINK("https://twitter.com/jcarloslh/status/1065562424043016192","1065562424043016192")</f>
        <v>1065562424043016192</v>
      </c>
      <c r="F630" s="11" t="s">
        <v>2372</v>
      </c>
      <c r="G630" s="12"/>
      <c r="H630" s="12"/>
      <c r="I630" s="13">
        <v>0</v>
      </c>
      <c r="J630" s="13">
        <v>0</v>
      </c>
      <c r="K630" s="14" t="str">
        <f>HYPERLINK("http://www.facebook.com/twitter","Facebook")</f>
        <v>Facebook</v>
      </c>
      <c r="L630" s="13">
        <v>186</v>
      </c>
      <c r="M630" s="13">
        <v>190</v>
      </c>
      <c r="N630" s="13">
        <v>9</v>
      </c>
      <c r="O630" s="15"/>
      <c r="P630" s="6">
        <v>40433.54041666667</v>
      </c>
      <c r="Q630" s="17" t="s">
        <v>29</v>
      </c>
      <c r="R630" s="18"/>
      <c r="S630" s="12"/>
      <c r="T630" s="12"/>
      <c r="U630" s="10" t="str">
        <f>HYPERLINK("https://pbs.twimg.com/profile_images/3399813895/ffa75fdcb08baf5251d475f9fca4c818.jpeg","View")</f>
        <v>View</v>
      </c>
    </row>
    <row r="631" spans="1:21" ht="30.6">
      <c r="A631" s="6">
        <v>43426.130046296297</v>
      </c>
      <c r="B631" s="7" t="str">
        <f>HYPERLINK("https://twitter.com/MareDentano","@MareDentano")</f>
        <v>@MareDentano</v>
      </c>
      <c r="C631" s="8" t="s">
        <v>2373</v>
      </c>
      <c r="D631" s="9" t="s">
        <v>2374</v>
      </c>
      <c r="E631" s="10" t="str">
        <f>HYPERLINK("https://twitter.com/MareDentano/status/1065562351812976640","1065562351812976640")</f>
        <v>1065562351812976640</v>
      </c>
      <c r="F631" s="11" t="s">
        <v>2375</v>
      </c>
      <c r="G631" s="12"/>
      <c r="H631" s="12"/>
      <c r="I631" s="13">
        <v>0</v>
      </c>
      <c r="J631" s="13">
        <v>0</v>
      </c>
      <c r="K631" s="14" t="str">
        <f>HYPERLINK("https://mobile.twitter.com","Twitter Lite")</f>
        <v>Twitter Lite</v>
      </c>
      <c r="L631" s="13">
        <v>115</v>
      </c>
      <c r="M631" s="13">
        <v>152</v>
      </c>
      <c r="N631" s="13">
        <v>0</v>
      </c>
      <c r="O631" s="15"/>
      <c r="P631" s="6">
        <v>41836.313449074078</v>
      </c>
      <c r="Q631" s="12"/>
      <c r="R631" s="18"/>
      <c r="S631" s="12"/>
      <c r="T631" s="12"/>
      <c r="U631" s="10" t="str">
        <f>HYPERLINK("https://pbs.twimg.com/profile_images/977899595459186688/aorQ3HCM.jpg","View")</f>
        <v>View</v>
      </c>
    </row>
    <row r="632" spans="1:21" ht="30.6">
      <c r="A632" s="6">
        <v>43426.12903935185</v>
      </c>
      <c r="B632" s="7" t="str">
        <f>HYPERLINK("https://twitter.com/AgustinCarrer19","@AgustinCarrer19")</f>
        <v>@AgustinCarrer19</v>
      </c>
      <c r="C632" s="8" t="s">
        <v>2376</v>
      </c>
      <c r="D632" s="9" t="s">
        <v>266</v>
      </c>
      <c r="E632" s="10" t="str">
        <f>HYPERLINK("https://twitter.com/AgustinCarrer19/status/1065561988003176449","1065561988003176449")</f>
        <v>1065561988003176449</v>
      </c>
      <c r="F632" s="11" t="s">
        <v>267</v>
      </c>
      <c r="G632" s="12"/>
      <c r="H632" s="12"/>
      <c r="I632" s="13">
        <v>0</v>
      </c>
      <c r="J632" s="13">
        <v>0</v>
      </c>
      <c r="K632" s="14" t="str">
        <f>HYPERLINK("http://twitter.com","Twitter Web Client")</f>
        <v>Twitter Web Client</v>
      </c>
      <c r="L632" s="13">
        <v>211</v>
      </c>
      <c r="M632" s="13">
        <v>307</v>
      </c>
      <c r="N632" s="13">
        <v>8</v>
      </c>
      <c r="O632" s="15"/>
      <c r="P632" s="6">
        <v>41725.19462962963</v>
      </c>
      <c r="Q632" s="17" t="s">
        <v>1165</v>
      </c>
      <c r="R632" s="16" t="s">
        <v>2377</v>
      </c>
      <c r="S632" s="12"/>
      <c r="T632" s="12"/>
      <c r="U632" s="10" t="str">
        <f>HYPERLINK("https://pbs.twimg.com/profile_images/1060630217209847809/2yH8Q-Cz.jpg","View")</f>
        <v>View</v>
      </c>
    </row>
    <row r="633" spans="1:21" ht="20.399999999999999">
      <c r="A633" s="6">
        <v>43426.128842592589</v>
      </c>
      <c r="B633" s="7" t="str">
        <f>HYPERLINK("https://twitter.com/TurboNoticias","@TurboNoticias")</f>
        <v>@TurboNoticias</v>
      </c>
      <c r="C633" s="8" t="s">
        <v>2378</v>
      </c>
      <c r="D633" s="9" t="s">
        <v>1328</v>
      </c>
      <c r="E633" s="10" t="str">
        <f>HYPERLINK("https://twitter.com/TurboNoticias/status/1065561915664072704","1065561915664072704")</f>
        <v>1065561915664072704</v>
      </c>
      <c r="F633" s="11" t="s">
        <v>962</v>
      </c>
      <c r="G633" s="12"/>
      <c r="H633" s="12"/>
      <c r="I633" s="13">
        <v>0</v>
      </c>
      <c r="J633" s="13">
        <v>0</v>
      </c>
      <c r="K633" s="14" t="str">
        <f>HYPERLINK("https://ifttt.com","IFTTT")</f>
        <v>IFTTT</v>
      </c>
      <c r="L633" s="13">
        <v>962</v>
      </c>
      <c r="M633" s="13">
        <v>853</v>
      </c>
      <c r="N633" s="13">
        <v>72</v>
      </c>
      <c r="O633" s="15"/>
      <c r="P633" s="6">
        <v>41374.53361111111</v>
      </c>
      <c r="Q633" s="12"/>
      <c r="R633" s="16" t="s">
        <v>2379</v>
      </c>
      <c r="S633" s="12"/>
      <c r="T633" s="12"/>
      <c r="U633" s="10" t="str">
        <f>HYPERLINK("https://pbs.twimg.com/profile_images/3503488030/f3fa72449e81ed8eb09fe5df9d6c5afe.jpeg","View")</f>
        <v>View</v>
      </c>
    </row>
    <row r="634" spans="1:21" ht="30.6">
      <c r="A634" s="6">
        <v>43426.128298611111</v>
      </c>
      <c r="B634" s="7" t="str">
        <f>HYPERLINK("https://twitter.com/megafonoccoo","@megafonoccoo")</f>
        <v>@megafonoccoo</v>
      </c>
      <c r="C634" s="8" t="s">
        <v>637</v>
      </c>
      <c r="D634" s="9" t="s">
        <v>2380</v>
      </c>
      <c r="E634" s="10" t="str">
        <f>HYPERLINK("https://twitter.com/megafonoccoo/status/1065561718561083392","1065561718561083392")</f>
        <v>1065561718561083392</v>
      </c>
      <c r="F634" s="11" t="s">
        <v>1927</v>
      </c>
      <c r="G634" s="12"/>
      <c r="H634" s="12"/>
      <c r="I634" s="13">
        <v>0</v>
      </c>
      <c r="J634" s="13">
        <v>0</v>
      </c>
      <c r="K634" s="14" t="str">
        <f>HYPERLINK("http://twitter.com/download/android","Twitter for Android")</f>
        <v>Twitter for Android</v>
      </c>
      <c r="L634" s="13">
        <v>1349</v>
      </c>
      <c r="M634" s="13">
        <v>1532</v>
      </c>
      <c r="N634" s="13">
        <v>36</v>
      </c>
      <c r="O634" s="15"/>
      <c r="P634" s="6">
        <v>41064.562581018516</v>
      </c>
      <c r="Q634" s="17" t="s">
        <v>639</v>
      </c>
      <c r="R634" s="16" t="s">
        <v>640</v>
      </c>
      <c r="S634" s="12"/>
      <c r="T634" s="12"/>
      <c r="U634" s="10" t="str">
        <f>HYPERLINK("https://pbs.twimg.com/profile_images/2279929324/7cpganh95ds3ssnmh9t8.jpeg","View")</f>
        <v>View</v>
      </c>
    </row>
    <row r="635" spans="1:21" ht="40.799999999999997">
      <c r="A635" s="6">
        <v>43426.12572916667</v>
      </c>
      <c r="B635" s="7" t="str">
        <f>HYPERLINK("https://twitter.com/ElMundoEspana","@ElMundoEspana")</f>
        <v>@ElMundoEspana</v>
      </c>
      <c r="C635" s="8" t="s">
        <v>2381</v>
      </c>
      <c r="D635" s="9" t="s">
        <v>2382</v>
      </c>
      <c r="E635" s="10" t="str">
        <f>HYPERLINK("https://twitter.com/ElMundoEspana/status/1065560788654583814","1065560788654583814")</f>
        <v>1065560788654583814</v>
      </c>
      <c r="F635" s="11" t="s">
        <v>1169</v>
      </c>
      <c r="G635" s="12"/>
      <c r="H635" s="12"/>
      <c r="I635" s="13">
        <v>0</v>
      </c>
      <c r="J635" s="13">
        <v>0</v>
      </c>
      <c r="K635" s="14" t="str">
        <f>HYPERLINK("http://twitter.com","Twitter Web Client")</f>
        <v>Twitter Web Client</v>
      </c>
      <c r="L635" s="13">
        <v>17967</v>
      </c>
      <c r="M635" s="13">
        <v>654</v>
      </c>
      <c r="N635" s="13">
        <v>350</v>
      </c>
      <c r="O635" s="19" t="s">
        <v>74</v>
      </c>
      <c r="P635" s="6">
        <v>42089.082106481481</v>
      </c>
      <c r="Q635" s="12"/>
      <c r="R635" s="16" t="s">
        <v>2383</v>
      </c>
      <c r="S635" s="11" t="s">
        <v>2384</v>
      </c>
      <c r="T635" s="12"/>
      <c r="U635" s="10" t="str">
        <f>HYPERLINK("https://pbs.twimg.com/profile_images/780431237555032064/H6v83dkC.jpg","View")</f>
        <v>View</v>
      </c>
    </row>
    <row r="636" spans="1:21" ht="30.6">
      <c r="A636" s="6">
        <v>43426.125046296293</v>
      </c>
      <c r="B636" s="7" t="str">
        <f>HYPERLINK("https://twitter.com/Liverdades","@Liverdades")</f>
        <v>@Liverdades</v>
      </c>
      <c r="C636" s="8" t="s">
        <v>2385</v>
      </c>
      <c r="D636" s="9" t="s">
        <v>266</v>
      </c>
      <c r="E636" s="10" t="str">
        <f>HYPERLINK("https://twitter.com/Liverdades/status/1065560541228294144","1065560541228294144")</f>
        <v>1065560541228294144</v>
      </c>
      <c r="F636" s="11" t="s">
        <v>2386</v>
      </c>
      <c r="G636" s="11" t="s">
        <v>2387</v>
      </c>
      <c r="H636" s="12"/>
      <c r="I636" s="13">
        <v>0</v>
      </c>
      <c r="J636" s="13">
        <v>0</v>
      </c>
      <c r="K636" s="14" t="str">
        <f>HYPERLINK("https://dlvrit.com/","dlvr.it")</f>
        <v>dlvr.it</v>
      </c>
      <c r="L636" s="13">
        <v>3517</v>
      </c>
      <c r="M636" s="13">
        <v>3473</v>
      </c>
      <c r="N636" s="13">
        <v>66</v>
      </c>
      <c r="O636" s="15"/>
      <c r="P636" s="6">
        <v>41743.117881944447</v>
      </c>
      <c r="Q636" s="17" t="s">
        <v>187</v>
      </c>
      <c r="R636" s="16" t="s">
        <v>2388</v>
      </c>
      <c r="S636" s="11" t="s">
        <v>2389</v>
      </c>
      <c r="T636" s="12"/>
      <c r="U636" s="10" t="str">
        <f>HYPERLINK("https://pbs.twimg.com/profile_images/685407826445996032/eVcXWMVo.png","View")</f>
        <v>View</v>
      </c>
    </row>
    <row r="637" spans="1:21" ht="40.799999999999997">
      <c r="A637" s="6">
        <v>43426.124479166669</v>
      </c>
      <c r="B637" s="7" t="str">
        <f>HYPERLINK("https://twitter.com/slaymultimedios","@slaymultimedios")</f>
        <v>@slaymultimedios</v>
      </c>
      <c r="C637" s="8" t="s">
        <v>95</v>
      </c>
      <c r="D637" s="9" t="s">
        <v>2390</v>
      </c>
      <c r="E637" s="10" t="str">
        <f>HYPERLINK("https://twitter.com/slaymultimedios/status/1065560332549140480","1065560332549140480")</f>
        <v>1065560332549140480</v>
      </c>
      <c r="F637" s="11" t="s">
        <v>2391</v>
      </c>
      <c r="G637" s="12"/>
      <c r="H637" s="12"/>
      <c r="I637" s="13">
        <v>0</v>
      </c>
      <c r="J637" s="13">
        <v>0</v>
      </c>
      <c r="K637" s="14" t="str">
        <f>HYPERLINK("http://www.slaymultimedios.com","WebSiteSlayMultimedios")</f>
        <v>WebSiteSlayMultimedios</v>
      </c>
      <c r="L637" s="13">
        <v>41749</v>
      </c>
      <c r="M637" s="13">
        <v>178</v>
      </c>
      <c r="N637" s="13">
        <v>410</v>
      </c>
      <c r="O637" s="15"/>
      <c r="P637" s="6">
        <v>40209.55605324074</v>
      </c>
      <c r="Q637" s="17" t="s">
        <v>98</v>
      </c>
      <c r="R637" s="16" t="s">
        <v>99</v>
      </c>
      <c r="S637" s="11" t="s">
        <v>100</v>
      </c>
      <c r="T637" s="12"/>
      <c r="U637" s="10" t="str">
        <f>HYPERLINK("https://pbs.twimg.com/profile_images/714690465916817408/1NXaiuED.jpg","View")</f>
        <v>View</v>
      </c>
    </row>
    <row r="638" spans="1:21" ht="51">
      <c r="A638" s="6">
        <v>43426.123784722222</v>
      </c>
      <c r="B638" s="7" t="str">
        <f>HYPERLINK("https://twitter.com/Sevilla24H","@Sevilla24H")</f>
        <v>@Sevilla24H</v>
      </c>
      <c r="C638" s="8" t="s">
        <v>2392</v>
      </c>
      <c r="D638" s="9" t="s">
        <v>2393</v>
      </c>
      <c r="E638" s="10" t="str">
        <f>HYPERLINK("https://twitter.com/Sevilla24H/status/1065560083923443713","1065560083923443713")</f>
        <v>1065560083923443713</v>
      </c>
      <c r="F638" s="11" t="s">
        <v>2394</v>
      </c>
      <c r="G638" s="12"/>
      <c r="H638" s="12"/>
      <c r="I638" s="13">
        <v>0</v>
      </c>
      <c r="J638" s="13">
        <v>0</v>
      </c>
      <c r="K638" s="14" t="str">
        <f>HYPERLINK("https://ifttt.com","IFTTT")</f>
        <v>IFTTT</v>
      </c>
      <c r="L638" s="13">
        <v>502</v>
      </c>
      <c r="M638" s="13">
        <v>750</v>
      </c>
      <c r="N638" s="13">
        <v>11</v>
      </c>
      <c r="O638" s="15"/>
      <c r="P638" s="6">
        <v>41294.224583333329</v>
      </c>
      <c r="Q638" s="17" t="s">
        <v>2395</v>
      </c>
      <c r="R638" s="16" t="s">
        <v>2396</v>
      </c>
      <c r="S638" s="11" t="s">
        <v>2397</v>
      </c>
      <c r="T638" s="12"/>
      <c r="U638" s="10" t="str">
        <f>HYPERLINK("https://pbs.twimg.com/profile_images/833777334108975104/fgeZLBXg.jpg","View")</f>
        <v>View</v>
      </c>
    </row>
    <row r="639" spans="1:21" ht="30.6">
      <c r="A639" s="6">
        <v>43426.123136574075</v>
      </c>
      <c r="B639" s="7" t="str">
        <f>HYPERLINK("https://twitter.com/HuffPostPolitic","@HuffPostPolitic")</f>
        <v>@HuffPostPolitic</v>
      </c>
      <c r="C639" s="8" t="s">
        <v>2398</v>
      </c>
      <c r="D639" s="9" t="s">
        <v>468</v>
      </c>
      <c r="E639" s="10" t="str">
        <f>HYPERLINK("https://twitter.com/HuffPostPolitic/status/1065559847566041088","1065559847566041088")</f>
        <v>1065559847566041088</v>
      </c>
      <c r="F639" s="11" t="s">
        <v>469</v>
      </c>
      <c r="G639" s="11" t="s">
        <v>2399</v>
      </c>
      <c r="H639" s="12"/>
      <c r="I639" s="13">
        <v>3</v>
      </c>
      <c r="J639" s="13">
        <v>3</v>
      </c>
      <c r="K639" s="14" t="str">
        <f>HYPERLINK("https://about.twitter.com/products/tweetdeck","TweetDeck")</f>
        <v>TweetDeck</v>
      </c>
      <c r="L639" s="13">
        <v>7687</v>
      </c>
      <c r="M639" s="13">
        <v>1765</v>
      </c>
      <c r="N639" s="13">
        <v>77</v>
      </c>
      <c r="O639" s="19" t="s">
        <v>74</v>
      </c>
      <c r="P639" s="6">
        <v>42157.434976851851</v>
      </c>
      <c r="Q639" s="17" t="s">
        <v>29</v>
      </c>
      <c r="R639" s="16" t="s">
        <v>2400</v>
      </c>
      <c r="S639" s="11" t="s">
        <v>2401</v>
      </c>
      <c r="T639" s="12"/>
      <c r="U639" s="10" t="str">
        <f>HYPERLINK("https://pbs.twimg.com/profile_images/875474617674199040/XZKX-2Wb.jpg","View")</f>
        <v>View</v>
      </c>
    </row>
    <row r="640" spans="1:21" ht="40.799999999999997">
      <c r="A640" s="6">
        <v>43426.120717592596</v>
      </c>
      <c r="B640" s="7" t="str">
        <f>HYPERLINK("https://twitter.com/francolmenero","@francolmenero")</f>
        <v>@francolmenero</v>
      </c>
      <c r="C640" s="8" t="s">
        <v>2402</v>
      </c>
      <c r="D640" s="9" t="s">
        <v>2403</v>
      </c>
      <c r="E640" s="10" t="str">
        <f>HYPERLINK("https://twitter.com/francolmenero/status/1065558970243399680","1065558970243399680")</f>
        <v>1065558970243399680</v>
      </c>
      <c r="F640" s="12"/>
      <c r="G640" s="12"/>
      <c r="H640" s="12"/>
      <c r="I640" s="13">
        <v>0</v>
      </c>
      <c r="J640" s="13">
        <v>0</v>
      </c>
      <c r="K640" s="14" t="str">
        <f>HYPERLINK("http://twitter.com","Twitter Web Client")</f>
        <v>Twitter Web Client</v>
      </c>
      <c r="L640" s="13">
        <v>19</v>
      </c>
      <c r="M640" s="13">
        <v>114</v>
      </c>
      <c r="N640" s="13">
        <v>0</v>
      </c>
      <c r="O640" s="15"/>
      <c r="P640" s="6">
        <v>41235.381770833337</v>
      </c>
      <c r="Q640" s="12"/>
      <c r="R640" s="16" t="s">
        <v>2404</v>
      </c>
      <c r="S640" s="12"/>
      <c r="T640" s="12"/>
      <c r="U640" s="10" t="str">
        <f>HYPERLINK("https://pbs.twimg.com/profile_images/2886274428/9d9b18d52e75e7a4a1e344f6c371690b.jpeg","View")</f>
        <v>View</v>
      </c>
    </row>
    <row r="641" spans="1:21" ht="30.6">
      <c r="A641" s="6">
        <v>43426.118831018517</v>
      </c>
      <c r="B641" s="7" t="str">
        <f>HYPERLINK("https://twitter.com/Liverdades","@Liverdades")</f>
        <v>@Liverdades</v>
      </c>
      <c r="C641" s="8" t="s">
        <v>2385</v>
      </c>
      <c r="D641" s="9" t="s">
        <v>2405</v>
      </c>
      <c r="E641" s="10" t="str">
        <f>HYPERLINK("https://twitter.com/Liverdades/status/1065558286978580481","1065558286978580481")</f>
        <v>1065558286978580481</v>
      </c>
      <c r="F641" s="11" t="s">
        <v>2406</v>
      </c>
      <c r="G641" s="11" t="s">
        <v>2407</v>
      </c>
      <c r="H641" s="12"/>
      <c r="I641" s="13">
        <v>0</v>
      </c>
      <c r="J641" s="13">
        <v>0</v>
      </c>
      <c r="K641" s="14" t="str">
        <f>HYPERLINK("https://dlvrit.com/","dlvr.it")</f>
        <v>dlvr.it</v>
      </c>
      <c r="L641" s="13">
        <v>3517</v>
      </c>
      <c r="M641" s="13">
        <v>3473</v>
      </c>
      <c r="N641" s="13">
        <v>66</v>
      </c>
      <c r="O641" s="15"/>
      <c r="P641" s="6">
        <v>41743.117881944447</v>
      </c>
      <c r="Q641" s="17" t="s">
        <v>187</v>
      </c>
      <c r="R641" s="16" t="s">
        <v>2388</v>
      </c>
      <c r="S641" s="11" t="s">
        <v>2389</v>
      </c>
      <c r="T641" s="12"/>
      <c r="U641" s="10" t="str">
        <f>HYPERLINK("https://pbs.twimg.com/profile_images/685407826445996032/eVcXWMVo.png","View")</f>
        <v>View</v>
      </c>
    </row>
    <row r="642" spans="1:21" ht="20.399999999999999">
      <c r="A642" s="6">
        <v>43426.117789351847</v>
      </c>
      <c r="B642" s="7" t="str">
        <f>HYPERLINK("https://twitter.com/Teresaperezcep1","@Teresaperezcep1")</f>
        <v>@Teresaperezcep1</v>
      </c>
      <c r="C642" s="8" t="s">
        <v>2408</v>
      </c>
      <c r="D642" s="9" t="s">
        <v>2409</v>
      </c>
      <c r="E642" s="10" t="str">
        <f>HYPERLINK("https://twitter.com/Teresaperezcep1/status/1065557910296674304","1065557910296674304")</f>
        <v>1065557910296674304</v>
      </c>
      <c r="F642" s="11" t="s">
        <v>2410</v>
      </c>
      <c r="G642" s="12"/>
      <c r="H642" s="12"/>
      <c r="I642" s="13">
        <v>0</v>
      </c>
      <c r="J642" s="13">
        <v>1</v>
      </c>
      <c r="K642" s="14" t="str">
        <f t="shared" ref="K642:K643" si="127">HYPERLINK("http://twitter.com/download/android","Twitter for Android")</f>
        <v>Twitter for Android</v>
      </c>
      <c r="L642" s="13">
        <v>1324</v>
      </c>
      <c r="M642" s="13">
        <v>1605</v>
      </c>
      <c r="N642" s="13">
        <v>5</v>
      </c>
      <c r="O642" s="15"/>
      <c r="P642" s="6">
        <v>42553.708391203705</v>
      </c>
      <c r="Q642" s="17" t="s">
        <v>2411</v>
      </c>
      <c r="R642" s="18"/>
      <c r="S642" s="12"/>
      <c r="T642" s="12"/>
      <c r="U642" s="19" t="s">
        <v>368</v>
      </c>
    </row>
    <row r="643" spans="1:21" ht="40.799999999999997">
      <c r="A643" s="6">
        <v>43426.115046296298</v>
      </c>
      <c r="B643" s="7" t="str">
        <f>HYPERLINK("https://twitter.com/arachibuty","@arachibuty")</f>
        <v>@arachibuty</v>
      </c>
      <c r="C643" s="8" t="s">
        <v>2412</v>
      </c>
      <c r="D643" s="9" t="s">
        <v>2413</v>
      </c>
      <c r="E643" s="10" t="str">
        <f>HYPERLINK("https://twitter.com/arachibuty/status/1065556917622325250","1065556917622325250")</f>
        <v>1065556917622325250</v>
      </c>
      <c r="F643" s="11" t="s">
        <v>2194</v>
      </c>
      <c r="G643" s="11" t="s">
        <v>2414</v>
      </c>
      <c r="H643" s="12"/>
      <c r="I643" s="13">
        <v>0</v>
      </c>
      <c r="J643" s="13">
        <v>0</v>
      </c>
      <c r="K643" s="14" t="str">
        <f t="shared" si="127"/>
        <v>Twitter for Android</v>
      </c>
      <c r="L643" s="13">
        <v>375</v>
      </c>
      <c r="M643" s="13">
        <v>80</v>
      </c>
      <c r="N643" s="13">
        <v>13</v>
      </c>
      <c r="O643" s="15"/>
      <c r="P643" s="6">
        <v>39939.253576388888</v>
      </c>
      <c r="Q643" s="17" t="s">
        <v>2415</v>
      </c>
      <c r="R643" s="16" t="s">
        <v>2416</v>
      </c>
      <c r="S643" s="12"/>
      <c r="T643" s="12"/>
      <c r="U643" s="10" t="str">
        <f>HYPERLINK("https://pbs.twimg.com/profile_images/958762545891946496/sVbwOUkU.jpg","View")</f>
        <v>View</v>
      </c>
    </row>
    <row r="644" spans="1:21" ht="30.6">
      <c r="A644" s="6">
        <v>43426.114583333328</v>
      </c>
      <c r="B644" s="7" t="str">
        <f>HYPERLINK("https://twitter.com/laSextaTV","@laSextaTV")</f>
        <v>@laSextaTV</v>
      </c>
      <c r="C644" s="8" t="s">
        <v>2417</v>
      </c>
      <c r="D644" s="9" t="s">
        <v>1676</v>
      </c>
      <c r="E644" s="10" t="str">
        <f>HYPERLINK("https://twitter.com/laSextaTV/status/1065556746998083584","1065556746998083584")</f>
        <v>1065556746998083584</v>
      </c>
      <c r="F644" s="11" t="s">
        <v>2418</v>
      </c>
      <c r="G644" s="12"/>
      <c r="H644" s="12"/>
      <c r="I644" s="13">
        <v>3</v>
      </c>
      <c r="J644" s="13">
        <v>2</v>
      </c>
      <c r="K644" s="14" t="str">
        <f>HYPERLINK("http://dogtrack.es","DogTrack_Oficial")</f>
        <v>DogTrack_Oficial</v>
      </c>
      <c r="L644" s="13">
        <v>912516</v>
      </c>
      <c r="M644" s="13">
        <v>304</v>
      </c>
      <c r="N644" s="13">
        <v>5843</v>
      </c>
      <c r="O644" s="19" t="s">
        <v>74</v>
      </c>
      <c r="P644" s="6">
        <v>39877.429710648146</v>
      </c>
      <c r="Q644" s="17" t="s">
        <v>374</v>
      </c>
      <c r="R644" s="16" t="s">
        <v>2421</v>
      </c>
      <c r="S644" s="11" t="s">
        <v>2422</v>
      </c>
      <c r="T644" s="12"/>
      <c r="U644" s="10" t="str">
        <f>HYPERLINK("https://pbs.twimg.com/profile_images/898966361426231296/0sS0RzFh.jpg","View")</f>
        <v>View</v>
      </c>
    </row>
    <row r="645" spans="1:21" ht="30.6">
      <c r="A645" s="6">
        <v>43426.109120370369</v>
      </c>
      <c r="B645" s="7" t="str">
        <f>HYPERLINK("https://twitter.com/CristoFeliz1","@CristoFeliz1")</f>
        <v>@CristoFeliz1</v>
      </c>
      <c r="C645" s="8" t="s">
        <v>2423</v>
      </c>
      <c r="D645" s="9" t="s">
        <v>468</v>
      </c>
      <c r="E645" s="10" t="str">
        <f>HYPERLINK("https://twitter.com/CristoFeliz1/status/1065554768272060416","1065554768272060416")</f>
        <v>1065554768272060416</v>
      </c>
      <c r="F645" s="11" t="s">
        <v>2424</v>
      </c>
      <c r="G645" s="11" t="s">
        <v>2425</v>
      </c>
      <c r="H645" s="12"/>
      <c r="I645" s="13">
        <v>0</v>
      </c>
      <c r="J645" s="13">
        <v>0</v>
      </c>
      <c r="K645" s="14" t="str">
        <f>HYPERLINK("https://dlvrit.com/","dlvr.it")</f>
        <v>dlvr.it</v>
      </c>
      <c r="L645" s="13">
        <v>7046</v>
      </c>
      <c r="M645" s="13">
        <v>7743</v>
      </c>
      <c r="N645" s="13">
        <v>561</v>
      </c>
      <c r="O645" s="15"/>
      <c r="P645" s="6">
        <v>41186.491469907407</v>
      </c>
      <c r="Q645" s="17" t="s">
        <v>805</v>
      </c>
      <c r="R645" s="16" t="s">
        <v>2426</v>
      </c>
      <c r="S645" s="12"/>
      <c r="T645" s="12"/>
      <c r="U645" s="10" t="str">
        <f>HYPERLINK("https://pbs.twimg.com/profile_images/1002564938911703040/1Wvxy6Jm.jpg","View")</f>
        <v>View</v>
      </c>
    </row>
    <row r="646" spans="1:21" ht="30.6">
      <c r="A646" s="6">
        <v>43426.108530092592</v>
      </c>
      <c r="B646" s="7" t="str">
        <f>HYPERLINK("https://twitter.com/ElHuffPost","@ElHuffPost")</f>
        <v>@ElHuffPost</v>
      </c>
      <c r="C646" s="8" t="s">
        <v>467</v>
      </c>
      <c r="D646" s="9" t="s">
        <v>468</v>
      </c>
      <c r="E646" s="10" t="str">
        <f>HYPERLINK("https://twitter.com/ElHuffPost/status/1065554552680849408","1065554552680849408")</f>
        <v>1065554552680849408</v>
      </c>
      <c r="F646" s="11" t="s">
        <v>2427</v>
      </c>
      <c r="G646" s="11" t="s">
        <v>2428</v>
      </c>
      <c r="H646" s="12"/>
      <c r="I646" s="13">
        <v>3</v>
      </c>
      <c r="J646" s="13">
        <v>6</v>
      </c>
      <c r="K646" s="14" t="str">
        <f t="shared" ref="K646:K648" si="128">HYPERLINK("http://twitter.com","Twitter Web Client")</f>
        <v>Twitter Web Client</v>
      </c>
      <c r="L646" s="13">
        <v>430323</v>
      </c>
      <c r="M646" s="13">
        <v>1532</v>
      </c>
      <c r="N646" s="13">
        <v>8186</v>
      </c>
      <c r="O646" s="19" t="s">
        <v>74</v>
      </c>
      <c r="P646" s="6">
        <v>40784.652118055557</v>
      </c>
      <c r="Q646" s="17" t="s">
        <v>203</v>
      </c>
      <c r="R646" s="16" t="s">
        <v>471</v>
      </c>
      <c r="S646" s="11" t="s">
        <v>472</v>
      </c>
      <c r="T646" s="12"/>
      <c r="U646" s="10" t="str">
        <f>HYPERLINK("https://pbs.twimg.com/profile_images/921140803422089217/ETOEUOAx.jpg","View")</f>
        <v>View</v>
      </c>
    </row>
    <row r="647" spans="1:21" ht="71.400000000000006">
      <c r="A647" s="6">
        <v>43426.108171296291</v>
      </c>
      <c r="B647" s="7" t="str">
        <f>HYPERLINK("https://twitter.com/Ivanjode","@Ivanjode")</f>
        <v>@Ivanjode</v>
      </c>
      <c r="C647" s="8" t="s">
        <v>2429</v>
      </c>
      <c r="D647" s="9" t="s">
        <v>2430</v>
      </c>
      <c r="E647" s="10" t="str">
        <f>HYPERLINK("https://twitter.com/Ivanjode/status/1065554425136197632","1065554425136197632")</f>
        <v>1065554425136197632</v>
      </c>
      <c r="F647" s="17" t="s">
        <v>577</v>
      </c>
      <c r="G647" s="11" t="s">
        <v>578</v>
      </c>
      <c r="H647" s="12"/>
      <c r="I647" s="13">
        <v>1</v>
      </c>
      <c r="J647" s="13">
        <v>3</v>
      </c>
      <c r="K647" s="14" t="str">
        <f t="shared" si="128"/>
        <v>Twitter Web Client</v>
      </c>
      <c r="L647" s="13">
        <v>2170</v>
      </c>
      <c r="M647" s="13">
        <v>634</v>
      </c>
      <c r="N647" s="13">
        <v>14</v>
      </c>
      <c r="O647" s="15"/>
      <c r="P647" s="6">
        <v>42657.02621527778</v>
      </c>
      <c r="Q647" s="17" t="s">
        <v>2431</v>
      </c>
      <c r="R647" s="16" t="s">
        <v>2432</v>
      </c>
      <c r="S647" s="12"/>
      <c r="T647" s="12"/>
      <c r="U647" s="10" t="str">
        <f>HYPERLINK("https://pbs.twimg.com/profile_images/874878869924454400/Datok-5S.jpg","View")</f>
        <v>View</v>
      </c>
    </row>
    <row r="648" spans="1:21" ht="20.399999999999999">
      <c r="A648" s="6">
        <v>43426.106840277775</v>
      </c>
      <c r="B648" s="7" t="str">
        <f>HYPERLINK("https://twitter.com/vicrock1947","@vicrock1947")</f>
        <v>@vicrock1947</v>
      </c>
      <c r="C648" s="8" t="s">
        <v>2433</v>
      </c>
      <c r="D648" s="9" t="s">
        <v>2434</v>
      </c>
      <c r="E648" s="10" t="str">
        <f>HYPERLINK("https://twitter.com/vicrock1947/status/1065553943743340544","1065553943743340544")</f>
        <v>1065553943743340544</v>
      </c>
      <c r="F648" s="12"/>
      <c r="G648" s="12"/>
      <c r="H648" s="12"/>
      <c r="I648" s="13">
        <v>0</v>
      </c>
      <c r="J648" s="13">
        <v>0</v>
      </c>
      <c r="K648" s="14" t="str">
        <f t="shared" si="128"/>
        <v>Twitter Web Client</v>
      </c>
      <c r="L648" s="13">
        <v>1418</v>
      </c>
      <c r="M648" s="13">
        <v>1428</v>
      </c>
      <c r="N648" s="13">
        <v>2</v>
      </c>
      <c r="O648" s="15"/>
      <c r="P648" s="6">
        <v>42878.186157407406</v>
      </c>
      <c r="Q648" s="12"/>
      <c r="R648" s="18"/>
      <c r="S648" s="12"/>
      <c r="T648" s="12"/>
      <c r="U648" s="10" t="str">
        <f>HYPERLINK("https://pbs.twimg.com/profile_images/923505794078904321/K0hMi8hx.jpg","View")</f>
        <v>View</v>
      </c>
    </row>
    <row r="649" spans="1:21" ht="51">
      <c r="A649" s="6">
        <v>43426.106840277775</v>
      </c>
      <c r="B649" s="7" t="str">
        <f>HYPERLINK("https://twitter.com/ximoilicitano14","@ximoilicitano14")</f>
        <v>@ximoilicitano14</v>
      </c>
      <c r="C649" s="8" t="s">
        <v>2435</v>
      </c>
      <c r="D649" s="9" t="s">
        <v>2436</v>
      </c>
      <c r="E649" s="10" t="str">
        <f>HYPERLINK("https://twitter.com/ximoilicitano14/status/1065553940157214720","1065553940157214720")</f>
        <v>1065553940157214720</v>
      </c>
      <c r="F649" s="12"/>
      <c r="G649" s="11" t="s">
        <v>2437</v>
      </c>
      <c r="H649" s="12"/>
      <c r="I649" s="13">
        <v>1</v>
      </c>
      <c r="J649" s="13">
        <v>1</v>
      </c>
      <c r="K649" s="14" t="str">
        <f>HYPERLINK("http://twitter.com/download/android","Twitter for Android")</f>
        <v>Twitter for Android</v>
      </c>
      <c r="L649" s="13">
        <v>804</v>
      </c>
      <c r="M649" s="13">
        <v>1043</v>
      </c>
      <c r="N649" s="13">
        <v>8</v>
      </c>
      <c r="O649" s="15"/>
      <c r="P649" s="6">
        <v>41954.660405092596</v>
      </c>
      <c r="Q649" s="12"/>
      <c r="R649" s="16" t="s">
        <v>2438</v>
      </c>
      <c r="S649" s="11" t="s">
        <v>2439</v>
      </c>
      <c r="T649" s="12"/>
      <c r="U649" s="10" t="str">
        <f>HYPERLINK("https://pbs.twimg.com/profile_images/1025622799283630080/BeM9PIam.jpg","View")</f>
        <v>View</v>
      </c>
    </row>
    <row r="650" spans="1:21" ht="40.799999999999997">
      <c r="A650" s="6">
        <v>43426.103136574078</v>
      </c>
      <c r="B650" s="7" t="str">
        <f>HYPERLINK("https://twitter.com/Jota_POV","@Jota_POV")</f>
        <v>@Jota_POV</v>
      </c>
      <c r="C650" s="8" t="s">
        <v>2440</v>
      </c>
      <c r="D650" s="9" t="s">
        <v>2441</v>
      </c>
      <c r="E650" s="10" t="str">
        <f>HYPERLINK("https://twitter.com/Jota_POV/status/1065552598764265472","1065552598764265472")</f>
        <v>1065552598764265472</v>
      </c>
      <c r="F650" s="11" t="s">
        <v>2442</v>
      </c>
      <c r="G650" s="11" t="s">
        <v>2443</v>
      </c>
      <c r="H650" s="12"/>
      <c r="I650" s="13">
        <v>0</v>
      </c>
      <c r="J650" s="13">
        <v>2</v>
      </c>
      <c r="K650" s="14" t="str">
        <f>HYPERLINK("http://twitter.com","Twitter Web Client")</f>
        <v>Twitter Web Client</v>
      </c>
      <c r="L650" s="13">
        <v>4520</v>
      </c>
      <c r="M650" s="13">
        <v>3201</v>
      </c>
      <c r="N650" s="13">
        <v>50</v>
      </c>
      <c r="O650" s="15"/>
      <c r="P650" s="6">
        <v>41980.506006944444</v>
      </c>
      <c r="Q650" s="12"/>
      <c r="R650" s="16" t="s">
        <v>2444</v>
      </c>
      <c r="S650" s="11" t="s">
        <v>2445</v>
      </c>
      <c r="T650" s="12"/>
      <c r="U650" s="10" t="str">
        <f>HYPERLINK("https://pbs.twimg.com/profile_images/947892020210798592/Rl5Z9RiM.jpg","View")</f>
        <v>View</v>
      </c>
    </row>
    <row r="651" spans="1:21" ht="20.399999999999999">
      <c r="A651" s="6">
        <v>43426.103020833332</v>
      </c>
      <c r="B651" s="7" t="str">
        <f>HYPERLINK("https://twitter.com/cherinola","@cherinola")</f>
        <v>@cherinola</v>
      </c>
      <c r="C651" s="8" t="s">
        <v>2446</v>
      </c>
      <c r="D651" s="9" t="s">
        <v>2447</v>
      </c>
      <c r="E651" s="10" t="str">
        <f>HYPERLINK("https://twitter.com/cherinola/status/1065552557307760641","1065552557307760641")</f>
        <v>1065552557307760641</v>
      </c>
      <c r="F651" s="11" t="s">
        <v>2448</v>
      </c>
      <c r="G651" s="12"/>
      <c r="H651" s="12"/>
      <c r="I651" s="13">
        <v>0</v>
      </c>
      <c r="J651" s="13">
        <v>0</v>
      </c>
      <c r="K651" s="14" t="str">
        <f>HYPERLINK("http://twitter.com/download/iphone","Twitter for iPhone")</f>
        <v>Twitter for iPhone</v>
      </c>
      <c r="L651" s="13">
        <v>484</v>
      </c>
      <c r="M651" s="13">
        <v>76</v>
      </c>
      <c r="N651" s="13">
        <v>30</v>
      </c>
      <c r="O651" s="15"/>
      <c r="P651" s="6">
        <v>40232.781284722223</v>
      </c>
      <c r="Q651" s="17" t="s">
        <v>2449</v>
      </c>
      <c r="R651" s="16" t="s">
        <v>2450</v>
      </c>
      <c r="S651" s="11" t="s">
        <v>2451</v>
      </c>
      <c r="T651" s="12"/>
      <c r="U651" s="10" t="str">
        <f>HYPERLINK("https://pbs.twimg.com/profile_images/1035495200892887040/flIObds9.jpg","View")</f>
        <v>View</v>
      </c>
    </row>
    <row r="652" spans="1:21" ht="20.399999999999999">
      <c r="A652" s="6">
        <v>43426.100254629629</v>
      </c>
      <c r="B652" s="7" t="str">
        <f>HYPERLINK("https://twitter.com/noseraparatanto","@noseraparatanto")</f>
        <v>@noseraparatanto</v>
      </c>
      <c r="C652" s="8" t="s">
        <v>2452</v>
      </c>
      <c r="D652" s="9" t="s">
        <v>2453</v>
      </c>
      <c r="E652" s="10" t="str">
        <f>HYPERLINK("https://twitter.com/noseraparatanto/status/1065551554747482112","1065551554747482112")</f>
        <v>1065551554747482112</v>
      </c>
      <c r="F652" s="12"/>
      <c r="G652" s="11" t="s">
        <v>2454</v>
      </c>
      <c r="H652" s="12"/>
      <c r="I652" s="13">
        <v>0</v>
      </c>
      <c r="J652" s="13">
        <v>0</v>
      </c>
      <c r="K652" s="14" t="str">
        <f>HYPERLINK("http://twitter.com","Twitter Web Client")</f>
        <v>Twitter Web Client</v>
      </c>
      <c r="L652" s="13">
        <v>26</v>
      </c>
      <c r="M652" s="13">
        <v>22</v>
      </c>
      <c r="N652" s="13">
        <v>0</v>
      </c>
      <c r="O652" s="15"/>
      <c r="P652" s="6">
        <v>41133.336145833331</v>
      </c>
      <c r="Q652" s="12"/>
      <c r="R652" s="16" t="s">
        <v>2455</v>
      </c>
      <c r="S652" s="12"/>
      <c r="T652" s="12"/>
      <c r="U652" s="10" t="str">
        <f>HYPERLINK("https://pbs.twimg.com/profile_images/2495742252/383347_192345964192541_344867609_n.jpg","View")</f>
        <v>View</v>
      </c>
    </row>
    <row r="653" spans="1:21" ht="30.6">
      <c r="A653" s="6">
        <v>43426.095300925925</v>
      </c>
      <c r="B653" s="7" t="str">
        <f>HYPERLINK("https://twitter.com/Teresaperezcep1","@Teresaperezcep1")</f>
        <v>@Teresaperezcep1</v>
      </c>
      <c r="C653" s="8" t="s">
        <v>2408</v>
      </c>
      <c r="D653" s="9" t="s">
        <v>2456</v>
      </c>
      <c r="E653" s="10" t="str">
        <f>HYPERLINK("https://twitter.com/Teresaperezcep1/status/1065549761112170496","1065549761112170496")</f>
        <v>1065549761112170496</v>
      </c>
      <c r="F653" s="12"/>
      <c r="G653" s="12"/>
      <c r="H653" s="12"/>
      <c r="I653" s="13">
        <v>47</v>
      </c>
      <c r="J653" s="13">
        <v>31</v>
      </c>
      <c r="K653" s="14" t="str">
        <f t="shared" ref="K653:K655" si="129">HYPERLINK("http://twitter.com/download/android","Twitter for Android")</f>
        <v>Twitter for Android</v>
      </c>
      <c r="L653" s="13">
        <v>1324</v>
      </c>
      <c r="M653" s="13">
        <v>1605</v>
      </c>
      <c r="N653" s="13">
        <v>5</v>
      </c>
      <c r="O653" s="15"/>
      <c r="P653" s="6">
        <v>42553.708391203705</v>
      </c>
      <c r="Q653" s="17" t="s">
        <v>2411</v>
      </c>
      <c r="R653" s="18"/>
      <c r="S653" s="12"/>
      <c r="T653" s="12"/>
      <c r="U653" s="19" t="s">
        <v>368</v>
      </c>
    </row>
    <row r="654" spans="1:21" ht="30.6">
      <c r="A654" s="6">
        <v>43426.094675925924</v>
      </c>
      <c r="B654" s="7" t="str">
        <f>HYPERLINK("https://twitter.com/DeMeison","@DeMeison")</f>
        <v>@DeMeison</v>
      </c>
      <c r="C654" s="8" t="s">
        <v>2457</v>
      </c>
      <c r="D654" s="9" t="s">
        <v>2458</v>
      </c>
      <c r="E654" s="10" t="str">
        <f>HYPERLINK("https://twitter.com/DeMeison/status/1065549533826945030","1065549533826945030")</f>
        <v>1065549533826945030</v>
      </c>
      <c r="F654" s="12"/>
      <c r="G654" s="11" t="s">
        <v>2459</v>
      </c>
      <c r="H654" s="12"/>
      <c r="I654" s="13">
        <v>13</v>
      </c>
      <c r="J654" s="13">
        <v>26</v>
      </c>
      <c r="K654" s="14" t="str">
        <f t="shared" si="129"/>
        <v>Twitter for Android</v>
      </c>
      <c r="L654" s="13">
        <v>1567</v>
      </c>
      <c r="M654" s="13">
        <v>1236</v>
      </c>
      <c r="N654" s="13">
        <v>24</v>
      </c>
      <c r="O654" s="15"/>
      <c r="P654" s="6">
        <v>40711.443657407406</v>
      </c>
      <c r="Q654" s="17" t="s">
        <v>2460</v>
      </c>
      <c r="R654" s="16" t="s">
        <v>2461</v>
      </c>
      <c r="S654" s="12"/>
      <c r="T654" s="12"/>
      <c r="U654" s="10" t="str">
        <f>HYPERLINK("https://pbs.twimg.com/profile_images/924658553121640448/v126-zQr.jpg","View")</f>
        <v>View</v>
      </c>
    </row>
    <row r="655" spans="1:21" ht="51">
      <c r="A655" s="6">
        <v>43426.093449074076</v>
      </c>
      <c r="B655" s="7" t="str">
        <f>HYPERLINK("https://twitter.com/Sr_Gremlin","@Sr_Gremlin")</f>
        <v>@Sr_Gremlin</v>
      </c>
      <c r="C655" s="8" t="s">
        <v>2462</v>
      </c>
      <c r="D655" s="9" t="s">
        <v>2463</v>
      </c>
      <c r="E655" s="10" t="str">
        <f>HYPERLINK("https://twitter.com/Sr_Gremlin/status/1065549089155223553","1065549089155223553")</f>
        <v>1065549089155223553</v>
      </c>
      <c r="F655" s="12"/>
      <c r="G655" s="12"/>
      <c r="H655" s="12"/>
      <c r="I655" s="13">
        <v>0</v>
      </c>
      <c r="J655" s="13">
        <v>0</v>
      </c>
      <c r="K655" s="14" t="str">
        <f t="shared" si="129"/>
        <v>Twitter for Android</v>
      </c>
      <c r="L655" s="13">
        <v>1051</v>
      </c>
      <c r="M655" s="13">
        <v>2372</v>
      </c>
      <c r="N655" s="13">
        <v>19</v>
      </c>
      <c r="O655" s="15"/>
      <c r="P655" s="6">
        <v>40776.042592592596</v>
      </c>
      <c r="Q655" s="17" t="s">
        <v>2464</v>
      </c>
      <c r="R655" s="16" t="s">
        <v>2465</v>
      </c>
      <c r="S655" s="12"/>
      <c r="T655" s="12"/>
      <c r="U655" s="10" t="str">
        <f>HYPERLINK("https://pbs.twimg.com/profile_images/657262540892827648/95FuqdqQ.jpg","View")</f>
        <v>View</v>
      </c>
    </row>
    <row r="656" spans="1:21" ht="30.6">
      <c r="A656" s="6">
        <v>43426.092581018514</v>
      </c>
      <c r="B656" s="7" t="str">
        <f>HYPERLINK("https://twitter.com/Pedro_Guzman_","@Pedro_Guzman_")</f>
        <v>@Pedro_Guzman_</v>
      </c>
      <c r="C656" s="8" t="s">
        <v>2466</v>
      </c>
      <c r="D656" s="9" t="s">
        <v>2467</v>
      </c>
      <c r="E656" s="10" t="str">
        <f>HYPERLINK("https://twitter.com/Pedro_Guzman_/status/1065548773491974145","1065548773491974145")</f>
        <v>1065548773491974145</v>
      </c>
      <c r="F656" s="11" t="s">
        <v>707</v>
      </c>
      <c r="G656" s="12"/>
      <c r="H656" s="12"/>
      <c r="I656" s="13">
        <v>0</v>
      </c>
      <c r="J656" s="13">
        <v>0</v>
      </c>
      <c r="K656" s="14" t="str">
        <f>HYPERLINK("https://about.twitter.com/products/tweetdeck","TweetDeck")</f>
        <v>TweetDeck</v>
      </c>
      <c r="L656" s="13">
        <v>798</v>
      </c>
      <c r="M656" s="13">
        <v>1109</v>
      </c>
      <c r="N656" s="13">
        <v>36</v>
      </c>
      <c r="O656" s="15"/>
      <c r="P656" s="6">
        <v>40697.143414351856</v>
      </c>
      <c r="Q656" s="17" t="s">
        <v>76</v>
      </c>
      <c r="R656" s="16" t="s">
        <v>2468</v>
      </c>
      <c r="S656" s="11" t="s">
        <v>2469</v>
      </c>
      <c r="T656" s="12"/>
      <c r="U656" s="10" t="str">
        <f>HYPERLINK("https://pbs.twimg.com/profile_images/2221004633/Pedro.jpg","View")</f>
        <v>View</v>
      </c>
    </row>
    <row r="657" spans="1:21" ht="20.399999999999999">
      <c r="A657" s="6">
        <v>43426.09202546296</v>
      </c>
      <c r="B657" s="7" t="str">
        <f>HYPERLINK("https://twitter.com/silviarosillo75","@silviarosillo75")</f>
        <v>@silviarosillo75</v>
      </c>
      <c r="C657" s="8" t="s">
        <v>2470</v>
      </c>
      <c r="D657" s="9" t="s">
        <v>2471</v>
      </c>
      <c r="E657" s="10" t="str">
        <f>HYPERLINK("https://twitter.com/silviarosillo75/status/1065548572920373248","1065548572920373248")</f>
        <v>1065548572920373248</v>
      </c>
      <c r="F657" s="11" t="s">
        <v>2472</v>
      </c>
      <c r="G657" s="12"/>
      <c r="H657" s="12"/>
      <c r="I657" s="13">
        <v>0</v>
      </c>
      <c r="J657" s="13">
        <v>0</v>
      </c>
      <c r="K657" s="14" t="str">
        <f>HYPERLINK("http://www.facebook.com/twitter","Facebook")</f>
        <v>Facebook</v>
      </c>
      <c r="L657" s="13">
        <v>280</v>
      </c>
      <c r="M657" s="13">
        <v>1142</v>
      </c>
      <c r="N657" s="13">
        <v>9</v>
      </c>
      <c r="O657" s="15"/>
      <c r="P657" s="6">
        <v>40939.471388888887</v>
      </c>
      <c r="Q657" s="17" t="s">
        <v>187</v>
      </c>
      <c r="R657" s="16" t="s">
        <v>2473</v>
      </c>
      <c r="S657" s="11" t="s">
        <v>2474</v>
      </c>
      <c r="T657" s="12"/>
      <c r="U657" s="10" t="str">
        <f>HYPERLINK("https://pbs.twimg.com/profile_images/1049358887042867200/i8g4zM5e.jpg","View")</f>
        <v>View</v>
      </c>
    </row>
    <row r="658" spans="1:21" ht="71.400000000000006">
      <c r="A658" s="6">
        <v>43426.089594907404</v>
      </c>
      <c r="B658" s="7" t="str">
        <f>HYPERLINK("https://twitter.com/Autillotwitt","@Autillotwitt")</f>
        <v>@Autillotwitt</v>
      </c>
      <c r="C658" s="8" t="s">
        <v>2475</v>
      </c>
      <c r="D658" s="9" t="s">
        <v>2476</v>
      </c>
      <c r="E658" s="10" t="str">
        <f>HYPERLINK("https://twitter.com/Autillotwitt/status/1065547692082978816","1065547692082978816")</f>
        <v>1065547692082978816</v>
      </c>
      <c r="F658" s="11" t="s">
        <v>1635</v>
      </c>
      <c r="G658" s="11" t="s">
        <v>1636</v>
      </c>
      <c r="H658" s="12"/>
      <c r="I658" s="13">
        <v>0</v>
      </c>
      <c r="J658" s="13">
        <v>0</v>
      </c>
      <c r="K658" s="14" t="str">
        <f t="shared" ref="K658:K660" si="130">HYPERLINK("http://twitter.com","Twitter Web Client")</f>
        <v>Twitter Web Client</v>
      </c>
      <c r="L658" s="13">
        <v>952</v>
      </c>
      <c r="M658" s="13">
        <v>566</v>
      </c>
      <c r="N658" s="13">
        <v>36</v>
      </c>
      <c r="O658" s="15"/>
      <c r="P658" s="6">
        <v>40670.57366898148</v>
      </c>
      <c r="Q658" s="17" t="s">
        <v>29</v>
      </c>
      <c r="R658" s="16" t="s">
        <v>2478</v>
      </c>
      <c r="S658" s="11" t="s">
        <v>2481</v>
      </c>
      <c r="T658" s="12"/>
      <c r="U658" s="10" t="str">
        <f>HYPERLINK("https://pbs.twimg.com/profile_images/588254784240689152/hfglc-SA.jpg","View")</f>
        <v>View</v>
      </c>
    </row>
    <row r="659" spans="1:21" ht="51">
      <c r="A659" s="6">
        <v>43426.084432870368</v>
      </c>
      <c r="B659" s="7" t="str">
        <f t="shared" ref="B659:B660" si="131">HYPERLINK("https://twitter.com/lopezbarrancoj4","@lopezbarrancoj4")</f>
        <v>@lopezbarrancoj4</v>
      </c>
      <c r="C659" s="8" t="s">
        <v>402</v>
      </c>
      <c r="D659" s="9" t="s">
        <v>2482</v>
      </c>
      <c r="E659" s="10" t="str">
        <f>HYPERLINK("https://twitter.com/lopezbarrancoj4/status/1065545820366405632","1065545820366405632")</f>
        <v>1065545820366405632</v>
      </c>
      <c r="F659" s="12"/>
      <c r="G659" s="12"/>
      <c r="H659" s="12"/>
      <c r="I659" s="13">
        <v>0</v>
      </c>
      <c r="J659" s="13">
        <v>0</v>
      </c>
      <c r="K659" s="14" t="str">
        <f t="shared" si="130"/>
        <v>Twitter Web Client</v>
      </c>
      <c r="L659" s="13">
        <v>10</v>
      </c>
      <c r="M659" s="13">
        <v>46</v>
      </c>
      <c r="N659" s="13">
        <v>0</v>
      </c>
      <c r="O659" s="15"/>
      <c r="P659" s="6">
        <v>42912.069780092592</v>
      </c>
      <c r="Q659" s="12"/>
      <c r="R659" s="18"/>
      <c r="S659" s="12"/>
      <c r="T659" s="12"/>
      <c r="U659" s="19" t="s">
        <v>368</v>
      </c>
    </row>
    <row r="660" spans="1:21" ht="51">
      <c r="A660" s="6">
        <v>43426.083067129628</v>
      </c>
      <c r="B660" s="7" t="str">
        <f t="shared" si="131"/>
        <v>@lopezbarrancoj4</v>
      </c>
      <c r="C660" s="8" t="s">
        <v>402</v>
      </c>
      <c r="D660" s="9" t="s">
        <v>2483</v>
      </c>
      <c r="E660" s="10" t="str">
        <f>HYPERLINK("https://twitter.com/lopezbarrancoj4/status/1065545327846002688","1065545327846002688")</f>
        <v>1065545327846002688</v>
      </c>
      <c r="F660" s="12"/>
      <c r="G660" s="12"/>
      <c r="H660" s="12"/>
      <c r="I660" s="13">
        <v>0</v>
      </c>
      <c r="J660" s="13">
        <v>0</v>
      </c>
      <c r="K660" s="14" t="str">
        <f t="shared" si="130"/>
        <v>Twitter Web Client</v>
      </c>
      <c r="L660" s="13">
        <v>10</v>
      </c>
      <c r="M660" s="13">
        <v>46</v>
      </c>
      <c r="N660" s="13">
        <v>0</v>
      </c>
      <c r="O660" s="15"/>
      <c r="P660" s="6">
        <v>42912.069780092592</v>
      </c>
      <c r="Q660" s="12"/>
      <c r="R660" s="18"/>
      <c r="S660" s="12"/>
      <c r="T660" s="12"/>
      <c r="U660" s="19" t="s">
        <v>368</v>
      </c>
    </row>
    <row r="661" spans="1:21" ht="30.6">
      <c r="A661" s="6">
        <v>43426.068298611106</v>
      </c>
      <c r="B661" s="7" t="str">
        <f>HYPERLINK("https://twitter.com/pacohortado","@pacohortado")</f>
        <v>@pacohortado</v>
      </c>
      <c r="C661" s="8" t="s">
        <v>598</v>
      </c>
      <c r="D661" s="9" t="s">
        <v>2484</v>
      </c>
      <c r="E661" s="10" t="str">
        <f>HYPERLINK("https://twitter.com/pacohortado/status/1065539974135717888","1065539974135717888")</f>
        <v>1065539974135717888</v>
      </c>
      <c r="F661" s="12"/>
      <c r="G661" s="11" t="s">
        <v>2485</v>
      </c>
      <c r="H661" s="12"/>
      <c r="I661" s="13">
        <v>1</v>
      </c>
      <c r="J661" s="13">
        <v>3</v>
      </c>
      <c r="K661" s="14" t="str">
        <f t="shared" ref="K661:K662" si="132">HYPERLINK("http://twitter.com/download/android","Twitter for Android")</f>
        <v>Twitter for Android</v>
      </c>
      <c r="L661" s="13">
        <v>2494</v>
      </c>
      <c r="M661" s="13">
        <v>1906</v>
      </c>
      <c r="N661" s="13">
        <v>47</v>
      </c>
      <c r="O661" s="15"/>
      <c r="P661" s="6">
        <v>40957.509305555555</v>
      </c>
      <c r="Q661" s="12"/>
      <c r="R661" s="16" t="s">
        <v>600</v>
      </c>
      <c r="S661" s="12"/>
      <c r="T661" s="12"/>
      <c r="U661" s="10" t="str">
        <f>HYPERLINK("https://pbs.twimg.com/profile_images/614868273948180480/ByNs7DtV.png","View")</f>
        <v>View</v>
      </c>
    </row>
    <row r="662" spans="1:21" ht="51">
      <c r="A662" s="6">
        <v>43426.066053240742</v>
      </c>
      <c r="B662" s="7" t="str">
        <f>HYPERLINK("https://twitter.com/cairel4","@cairel4")</f>
        <v>@cairel4</v>
      </c>
      <c r="C662" s="8" t="s">
        <v>2487</v>
      </c>
      <c r="D662" s="9" t="s">
        <v>2488</v>
      </c>
      <c r="E662" s="10" t="str">
        <f>HYPERLINK("https://twitter.com/cairel4/status/1065539160985997312","1065539160985997312")</f>
        <v>1065539160985997312</v>
      </c>
      <c r="F662" s="12"/>
      <c r="G662" s="12"/>
      <c r="H662" s="12"/>
      <c r="I662" s="13">
        <v>5</v>
      </c>
      <c r="J662" s="13">
        <v>10</v>
      </c>
      <c r="K662" s="14" t="str">
        <f t="shared" si="132"/>
        <v>Twitter for Android</v>
      </c>
      <c r="L662" s="13">
        <v>161</v>
      </c>
      <c r="M662" s="13">
        <v>113</v>
      </c>
      <c r="N662" s="13">
        <v>2</v>
      </c>
      <c r="O662" s="15"/>
      <c r="P662" s="6">
        <v>41792.552037037036</v>
      </c>
      <c r="Q662" s="17" t="s">
        <v>187</v>
      </c>
      <c r="R662" s="16" t="s">
        <v>2489</v>
      </c>
      <c r="S662" s="12"/>
      <c r="T662" s="12"/>
      <c r="U662" s="10" t="str">
        <f>HYPERLINK("https://pbs.twimg.com/profile_images/473567399044608001/EZuPOMoc.jpeg","View")</f>
        <v>View</v>
      </c>
    </row>
    <row r="663" spans="1:21" ht="20.399999999999999">
      <c r="A663" s="6">
        <v>43426.061226851853</v>
      </c>
      <c r="B663" s="7" t="str">
        <f>HYPERLINK("https://twitter.com/lacave_27","@lacave_27")</f>
        <v>@lacave_27</v>
      </c>
      <c r="C663" s="8" t="s">
        <v>2490</v>
      </c>
      <c r="D663" s="9" t="s">
        <v>2491</v>
      </c>
      <c r="E663" s="10" t="str">
        <f>HYPERLINK("https://twitter.com/lacave_27/status/1065537413857124352","1065537413857124352")</f>
        <v>1065537413857124352</v>
      </c>
      <c r="F663" s="12"/>
      <c r="G663" s="12"/>
      <c r="H663" s="12"/>
      <c r="I663" s="13">
        <v>0</v>
      </c>
      <c r="J663" s="13">
        <v>0</v>
      </c>
      <c r="K663" s="14" t="str">
        <f>HYPERLINK("http://twitter.com/download/iphone","Twitter for iPhone")</f>
        <v>Twitter for iPhone</v>
      </c>
      <c r="L663" s="13">
        <v>436</v>
      </c>
      <c r="M663" s="13">
        <v>575</v>
      </c>
      <c r="N663" s="13">
        <v>1</v>
      </c>
      <c r="O663" s="15"/>
      <c r="P663" s="6">
        <v>40279.429988425924</v>
      </c>
      <c r="Q663" s="17" t="s">
        <v>2492</v>
      </c>
      <c r="R663" s="16" t="s">
        <v>2493</v>
      </c>
      <c r="S663" s="12"/>
      <c r="T663" s="12"/>
      <c r="U663" s="10" t="str">
        <f>HYPERLINK("https://pbs.twimg.com/profile_images/918461423654711296/FGeSuFco.jpg","View")</f>
        <v>View</v>
      </c>
    </row>
    <row r="664" spans="1:21" ht="40.799999999999997">
      <c r="A664" s="6">
        <v>43426.05982638889</v>
      </c>
      <c r="B664" s="7" t="str">
        <f>HYPERLINK("https://twitter.com/elnacionalcat_e","@elnacionalcat_e")</f>
        <v>@elnacionalcat_e</v>
      </c>
      <c r="C664" s="8" t="s">
        <v>776</v>
      </c>
      <c r="D664" s="9" t="s">
        <v>2494</v>
      </c>
      <c r="E664" s="10" t="str">
        <f>HYPERLINK("https://twitter.com/elnacionalcat_e/status/1065536905062817793","1065536905062817793")</f>
        <v>1065536905062817793</v>
      </c>
      <c r="F664" s="11" t="s">
        <v>2495</v>
      </c>
      <c r="G664" s="12"/>
      <c r="H664" s="12"/>
      <c r="I664" s="13">
        <v>0</v>
      </c>
      <c r="J664" s="13">
        <v>0</v>
      </c>
      <c r="K664" s="14" t="str">
        <f>HYPERLINK("http://www.wearebab.com","Comitium5 BAB")</f>
        <v>Comitium5 BAB</v>
      </c>
      <c r="L664" s="13">
        <v>5489</v>
      </c>
      <c r="M664" s="13">
        <v>355</v>
      </c>
      <c r="N664" s="13">
        <v>167</v>
      </c>
      <c r="O664" s="15"/>
      <c r="P664" s="6">
        <v>42247.465567129635</v>
      </c>
      <c r="Q664" s="17" t="s">
        <v>638</v>
      </c>
      <c r="R664" s="16" t="s">
        <v>778</v>
      </c>
      <c r="S664" s="11" t="s">
        <v>779</v>
      </c>
      <c r="T664" s="12"/>
      <c r="U664" s="10" t="str">
        <f>HYPERLINK("https://pbs.twimg.com/profile_images/646298514385960960/VEutSP7L.png","View")</f>
        <v>View</v>
      </c>
    </row>
    <row r="665" spans="1:21" ht="51">
      <c r="A665" s="6">
        <v>43426.05978009259</v>
      </c>
      <c r="B665" s="7" t="str">
        <f>HYPERLINK("https://twitter.com/Teresaperezcep1","@Teresaperezcep1")</f>
        <v>@Teresaperezcep1</v>
      </c>
      <c r="C665" s="8" t="s">
        <v>2408</v>
      </c>
      <c r="D665" s="9" t="s">
        <v>2496</v>
      </c>
      <c r="E665" s="10" t="str">
        <f>HYPERLINK("https://twitter.com/Teresaperezcep1/status/1065536889749454849","1065536889749454849")</f>
        <v>1065536889749454849</v>
      </c>
      <c r="F665" s="12"/>
      <c r="G665" s="12"/>
      <c r="H665" s="12"/>
      <c r="I665" s="13">
        <v>28</v>
      </c>
      <c r="J665" s="13">
        <v>29</v>
      </c>
      <c r="K665" s="14" t="str">
        <f t="shared" ref="K665:K666" si="133">HYPERLINK("http://twitter.com/download/android","Twitter for Android")</f>
        <v>Twitter for Android</v>
      </c>
      <c r="L665" s="13">
        <v>1324</v>
      </c>
      <c r="M665" s="13">
        <v>1605</v>
      </c>
      <c r="N665" s="13">
        <v>5</v>
      </c>
      <c r="O665" s="15"/>
      <c r="P665" s="6">
        <v>42553.708391203705</v>
      </c>
      <c r="Q665" s="17" t="s">
        <v>2411</v>
      </c>
      <c r="R665" s="18"/>
      <c r="S665" s="12"/>
      <c r="T665" s="12"/>
      <c r="U665" s="19" t="s">
        <v>368</v>
      </c>
    </row>
    <row r="666" spans="1:21" ht="20.399999999999999">
      <c r="A666" s="6">
        <v>43426.056296296301</v>
      </c>
      <c r="B666" s="7" t="str">
        <f>HYPERLINK("https://twitter.com/SB_Lavezzolo","@SB_Lavezzolo")</f>
        <v>@SB_Lavezzolo</v>
      </c>
      <c r="C666" s="8" t="s">
        <v>2498</v>
      </c>
      <c r="D666" s="9" t="s">
        <v>2499</v>
      </c>
      <c r="E666" s="10" t="str">
        <f>HYPERLINK("https://twitter.com/SB_Lavezzolo/status/1065535626286694400","1065535626286694400")</f>
        <v>1065535626286694400</v>
      </c>
      <c r="F666" s="12"/>
      <c r="G666" s="11" t="s">
        <v>2500</v>
      </c>
      <c r="H666" s="12"/>
      <c r="I666" s="13">
        <v>0</v>
      </c>
      <c r="J666" s="13">
        <v>6</v>
      </c>
      <c r="K666" s="14" t="str">
        <f t="shared" si="133"/>
        <v>Twitter for Android</v>
      </c>
      <c r="L666" s="13">
        <v>3575</v>
      </c>
      <c r="M666" s="13">
        <v>1891</v>
      </c>
      <c r="N666" s="13">
        <v>135</v>
      </c>
      <c r="O666" s="15"/>
      <c r="P666" s="6">
        <v>40468.759259259255</v>
      </c>
      <c r="Q666" s="12"/>
      <c r="R666" s="16" t="s">
        <v>2501</v>
      </c>
      <c r="S666" s="11" t="s">
        <v>2502</v>
      </c>
      <c r="T666" s="12"/>
      <c r="U666" s="10" t="str">
        <f>HYPERLINK("https://pbs.twimg.com/profile_images/956223439634825216/Iebo63Rl.jpg","View")</f>
        <v>View</v>
      </c>
    </row>
    <row r="667" spans="1:21" ht="40.799999999999997">
      <c r="A667" s="6">
        <v>43426.055601851855</v>
      </c>
      <c r="B667" s="7" t="str">
        <f>HYPERLINK("https://twitter.com/Cambio16","@Cambio16")</f>
        <v>@Cambio16</v>
      </c>
      <c r="C667" s="8" t="s">
        <v>953</v>
      </c>
      <c r="D667" s="9" t="s">
        <v>2503</v>
      </c>
      <c r="E667" s="10" t="str">
        <f>HYPERLINK("https://twitter.com/Cambio16/status/1065535372682293249","1065535372682293249")</f>
        <v>1065535372682293249</v>
      </c>
      <c r="F667" s="11" t="s">
        <v>2135</v>
      </c>
      <c r="G667" s="11" t="s">
        <v>2504</v>
      </c>
      <c r="H667" s="12"/>
      <c r="I667" s="13">
        <v>0</v>
      </c>
      <c r="J667" s="13">
        <v>0</v>
      </c>
      <c r="K667" s="14" t="str">
        <f>HYPERLINK("https://www.hootsuite.com","Hootsuite Inc.")</f>
        <v>Hootsuite Inc.</v>
      </c>
      <c r="L667" s="13">
        <v>17345</v>
      </c>
      <c r="M667" s="13">
        <v>765</v>
      </c>
      <c r="N667" s="13">
        <v>499</v>
      </c>
      <c r="O667" s="15"/>
      <c r="P667" s="6">
        <v>40341.117245370369</v>
      </c>
      <c r="Q667" s="17" t="s">
        <v>143</v>
      </c>
      <c r="R667" s="16" t="s">
        <v>958</v>
      </c>
      <c r="S667" s="11" t="s">
        <v>959</v>
      </c>
      <c r="T667" s="12"/>
      <c r="U667" s="10" t="str">
        <f>HYPERLINK("https://pbs.twimg.com/profile_images/1060221846208069632/vJfJ3_T5.jpg","View")</f>
        <v>View</v>
      </c>
    </row>
    <row r="668" spans="1:21" ht="61.2">
      <c r="A668" s="6">
        <v>43426.05469907407</v>
      </c>
      <c r="B668" s="7" t="str">
        <f>HYPERLINK("https://twitter.com/JuanjoLucena","@JuanjoLucena")</f>
        <v>@JuanjoLucena</v>
      </c>
      <c r="C668" s="8" t="s">
        <v>2505</v>
      </c>
      <c r="D668" s="9" t="s">
        <v>2506</v>
      </c>
      <c r="E668" s="10" t="str">
        <f>HYPERLINK("https://twitter.com/JuanjoLucena/status/1065535045530734592","1065535045530734592")</f>
        <v>1065535045530734592</v>
      </c>
      <c r="F668" s="11" t="s">
        <v>1686</v>
      </c>
      <c r="G668" s="12"/>
      <c r="H668" s="12"/>
      <c r="I668" s="13">
        <v>0</v>
      </c>
      <c r="J668" s="13">
        <v>0</v>
      </c>
      <c r="K668" s="14" t="str">
        <f t="shared" ref="K668:K669" si="134">HYPERLINK("http://twitter.com/download/android","Twitter for Android")</f>
        <v>Twitter for Android</v>
      </c>
      <c r="L668" s="13">
        <v>200</v>
      </c>
      <c r="M668" s="13">
        <v>557</v>
      </c>
      <c r="N668" s="13">
        <v>1</v>
      </c>
      <c r="O668" s="15"/>
      <c r="P668" s="6">
        <v>40591.195486111115</v>
      </c>
      <c r="Q668" s="17" t="s">
        <v>2507</v>
      </c>
      <c r="R668" s="16" t="s">
        <v>2508</v>
      </c>
      <c r="S668" s="12"/>
      <c r="T668" s="12"/>
      <c r="U668" s="10" t="str">
        <f>HYPERLINK("https://pbs.twimg.com/profile_images/843597361511317504/0jhlv9Rw.jpg","View")</f>
        <v>View</v>
      </c>
    </row>
    <row r="669" spans="1:21" ht="71.400000000000006">
      <c r="A669" s="6">
        <v>43426.054571759261</v>
      </c>
      <c r="B669" s="7" t="str">
        <f>HYPERLINK("https://twitter.com/milarodmed","@milarodmed")</f>
        <v>@milarodmed</v>
      </c>
      <c r="C669" s="8" t="s">
        <v>2509</v>
      </c>
      <c r="D669" s="9" t="s">
        <v>2510</v>
      </c>
      <c r="E669" s="10" t="str">
        <f>HYPERLINK("https://twitter.com/milarodmed/status/1065535002732101632","1065535002732101632")</f>
        <v>1065535002732101632</v>
      </c>
      <c r="F669" s="11" t="s">
        <v>1861</v>
      </c>
      <c r="G669" s="11" t="s">
        <v>578</v>
      </c>
      <c r="H669" s="12"/>
      <c r="I669" s="13">
        <v>0</v>
      </c>
      <c r="J669" s="13">
        <v>1</v>
      </c>
      <c r="K669" s="14" t="str">
        <f t="shared" si="134"/>
        <v>Twitter for Android</v>
      </c>
      <c r="L669" s="13">
        <v>465</v>
      </c>
      <c r="M669" s="13">
        <v>945</v>
      </c>
      <c r="N669" s="13">
        <v>25</v>
      </c>
      <c r="O669" s="15"/>
      <c r="P669" s="6">
        <v>40011.225648148145</v>
      </c>
      <c r="Q669" s="17" t="s">
        <v>187</v>
      </c>
      <c r="R669" s="16" t="s">
        <v>2511</v>
      </c>
      <c r="S669" s="12"/>
      <c r="T669" s="12"/>
      <c r="U669" s="10" t="str">
        <f>HYPERLINK("https://pbs.twimg.com/profile_images/1060642230963240960/Utc2jRBy.jpg","View")</f>
        <v>View</v>
      </c>
    </row>
    <row r="670" spans="1:21" ht="30.6">
      <c r="A670" s="6">
        <v>43426.053819444445</v>
      </c>
      <c r="B670" s="7" t="str">
        <f>HYPERLINK("https://twitter.com/juliancallejo","@juliancallejo")</f>
        <v>@juliancallejo</v>
      </c>
      <c r="C670" s="8" t="s">
        <v>2512</v>
      </c>
      <c r="D670" s="9" t="s">
        <v>2513</v>
      </c>
      <c r="E670" s="10" t="str">
        <f>HYPERLINK("https://twitter.com/juliancallejo/status/1065534726365163520","1065534726365163520")</f>
        <v>1065534726365163520</v>
      </c>
      <c r="F670" s="12"/>
      <c r="G670" s="12"/>
      <c r="H670" s="12"/>
      <c r="I670" s="13">
        <v>0</v>
      </c>
      <c r="J670" s="13">
        <v>0</v>
      </c>
      <c r="K670" s="14" t="str">
        <f>HYPERLINK("http://twitter.com","Twitter Web Client")</f>
        <v>Twitter Web Client</v>
      </c>
      <c r="L670" s="13">
        <v>628</v>
      </c>
      <c r="M670" s="13">
        <v>893</v>
      </c>
      <c r="N670" s="13">
        <v>34</v>
      </c>
      <c r="O670" s="15"/>
      <c r="P670" s="6">
        <v>39877.328321759262</v>
      </c>
      <c r="Q670" s="17" t="s">
        <v>76</v>
      </c>
      <c r="R670" s="16" t="s">
        <v>2514</v>
      </c>
      <c r="S670" s="11" t="s">
        <v>2515</v>
      </c>
      <c r="T670" s="12"/>
      <c r="U670" s="10" t="str">
        <f>HYPERLINK("https://pbs.twimg.com/profile_images/1055193828167168000/XPELfQTf.jpg","View")</f>
        <v>View</v>
      </c>
    </row>
    <row r="671" spans="1:21" ht="20.399999999999999">
      <c r="A671" s="6">
        <v>43426.052083333328</v>
      </c>
      <c r="B671" s="7" t="str">
        <f>HYPERLINK("https://twitter.com/sextaNoticias","@sextaNoticias")</f>
        <v>@sextaNoticias</v>
      </c>
      <c r="C671" s="8" t="s">
        <v>1556</v>
      </c>
      <c r="D671" s="9" t="s">
        <v>2516</v>
      </c>
      <c r="E671" s="10" t="str">
        <f>HYPERLINK("https://twitter.com/sextaNoticias/status/1065534098318471168","1065534098318471168")</f>
        <v>1065534098318471168</v>
      </c>
      <c r="F671" s="11" t="s">
        <v>2517</v>
      </c>
      <c r="G671" s="12"/>
      <c r="H671" s="12"/>
      <c r="I671" s="13">
        <v>5</v>
      </c>
      <c r="J671" s="13">
        <v>10</v>
      </c>
      <c r="K671" s="14" t="str">
        <f>HYPERLINK("http://dogtrack.es","DogTrack_Oficial")</f>
        <v>DogTrack_Oficial</v>
      </c>
      <c r="L671" s="13">
        <v>1108908</v>
      </c>
      <c r="M671" s="13">
        <v>279</v>
      </c>
      <c r="N671" s="13">
        <v>7292</v>
      </c>
      <c r="O671" s="19" t="s">
        <v>74</v>
      </c>
      <c r="P671" s="6">
        <v>40099.239328703705</v>
      </c>
      <c r="Q671" s="12"/>
      <c r="R671" s="16" t="s">
        <v>1559</v>
      </c>
      <c r="S671" s="11" t="s">
        <v>1560</v>
      </c>
      <c r="T671" s="12"/>
      <c r="U671" s="10" t="str">
        <f>HYPERLINK("https://pbs.twimg.com/profile_images/898970208551022592/hh3ITSK-.jpg","View")</f>
        <v>View</v>
      </c>
    </row>
    <row r="672" spans="1:21" ht="30.6">
      <c r="A672" s="6">
        <v>43426.047974537039</v>
      </c>
      <c r="B672" s="7" t="str">
        <f>HYPERLINK("https://twitter.com/videcelta","@videcelta")</f>
        <v>@videcelta</v>
      </c>
      <c r="C672" s="8" t="s">
        <v>565</v>
      </c>
      <c r="D672" s="9" t="s">
        <v>697</v>
      </c>
      <c r="E672" s="10" t="str">
        <f>HYPERLINK("https://twitter.com/videcelta/status/1065532608627527681","1065532608627527681")</f>
        <v>1065532608627527681</v>
      </c>
      <c r="F672" s="11" t="s">
        <v>955</v>
      </c>
      <c r="G672" s="12"/>
      <c r="H672" s="12"/>
      <c r="I672" s="13">
        <v>0</v>
      </c>
      <c r="J672" s="13">
        <v>0</v>
      </c>
      <c r="K672" s="14" t="str">
        <f>HYPERLINK("http://www.facebook.com/twitter","Facebook")</f>
        <v>Facebook</v>
      </c>
      <c r="L672" s="13">
        <v>540</v>
      </c>
      <c r="M672" s="13">
        <v>1980</v>
      </c>
      <c r="N672" s="13">
        <v>8</v>
      </c>
      <c r="O672" s="15"/>
      <c r="P672" s="6">
        <v>40190.505729166667</v>
      </c>
      <c r="Q672" s="17" t="s">
        <v>567</v>
      </c>
      <c r="R672" s="16" t="s">
        <v>568</v>
      </c>
      <c r="S672" s="11" t="s">
        <v>569</v>
      </c>
      <c r="T672" s="12"/>
      <c r="U672" s="10" t="str">
        <f>HYPERLINK("https://pbs.twimg.com/profile_images/473781587033985024/i7lxqPHT.jpeg","View")</f>
        <v>View</v>
      </c>
    </row>
    <row r="673" spans="1:21" ht="51">
      <c r="A673" s="6">
        <v>43426.044814814813</v>
      </c>
      <c r="B673" s="7" t="str">
        <f>HYPERLINK("https://twitter.com/Lacasitos985","@Lacasitos985")</f>
        <v>@Lacasitos985</v>
      </c>
      <c r="C673" s="8" t="s">
        <v>2518</v>
      </c>
      <c r="D673" s="9" t="s">
        <v>2519</v>
      </c>
      <c r="E673" s="10" t="str">
        <f>HYPERLINK("https://twitter.com/Lacasitos985/status/1065531463624478720","1065531463624478720")</f>
        <v>1065531463624478720</v>
      </c>
      <c r="F673" s="12"/>
      <c r="G673" s="11" t="s">
        <v>2520</v>
      </c>
      <c r="H673" s="12"/>
      <c r="I673" s="13">
        <v>1</v>
      </c>
      <c r="J673" s="13">
        <v>0</v>
      </c>
      <c r="K673" s="14" t="str">
        <f>HYPERLINK("http://twitter.com/download/iphone","Twitter for iPhone")</f>
        <v>Twitter for iPhone</v>
      </c>
      <c r="L673" s="13">
        <v>1207</v>
      </c>
      <c r="M673" s="13">
        <v>945</v>
      </c>
      <c r="N673" s="13">
        <v>4</v>
      </c>
      <c r="O673" s="15"/>
      <c r="P673" s="6">
        <v>42986.34611111111</v>
      </c>
      <c r="Q673" s="17" t="s">
        <v>268</v>
      </c>
      <c r="R673" s="16" t="s">
        <v>2521</v>
      </c>
      <c r="S673" s="12"/>
      <c r="T673" s="12"/>
      <c r="U673" s="10" t="str">
        <f>HYPERLINK("https://pbs.twimg.com/profile_images/1048273078835404803/X2AX6MO3.jpg","View")</f>
        <v>View</v>
      </c>
    </row>
    <row r="674" spans="1:21" ht="30.6">
      <c r="A674" s="6">
        <v>43426.044444444444</v>
      </c>
      <c r="B674" s="7" t="str">
        <f>HYPERLINK("https://twitter.com/ElHuffPost","@ElHuffPost")</f>
        <v>@ElHuffPost</v>
      </c>
      <c r="C674" s="8" t="s">
        <v>467</v>
      </c>
      <c r="D674" s="9" t="s">
        <v>2273</v>
      </c>
      <c r="E674" s="10" t="str">
        <f>HYPERLINK("https://twitter.com/ElHuffPost/status/1065531330170155008","1065531330170155008")</f>
        <v>1065531330170155008</v>
      </c>
      <c r="F674" s="11" t="s">
        <v>2522</v>
      </c>
      <c r="G674" s="12"/>
      <c r="H674" s="12"/>
      <c r="I674" s="13">
        <v>1</v>
      </c>
      <c r="J674" s="13">
        <v>1</v>
      </c>
      <c r="K674" s="14" t="str">
        <f>HYPERLINK("https://about.twitter.com/products/tweetdeck","TweetDeck")</f>
        <v>TweetDeck</v>
      </c>
      <c r="L674" s="13">
        <v>430323</v>
      </c>
      <c r="M674" s="13">
        <v>1532</v>
      </c>
      <c r="N674" s="13">
        <v>8186</v>
      </c>
      <c r="O674" s="19" t="s">
        <v>74</v>
      </c>
      <c r="P674" s="6">
        <v>40784.652118055557</v>
      </c>
      <c r="Q674" s="17" t="s">
        <v>203</v>
      </c>
      <c r="R674" s="16" t="s">
        <v>471</v>
      </c>
      <c r="S674" s="11" t="s">
        <v>472</v>
      </c>
      <c r="T674" s="12"/>
      <c r="U674" s="10" t="str">
        <f>HYPERLINK("https://pbs.twimg.com/profile_images/921140803422089217/ETOEUOAx.jpg","View")</f>
        <v>View</v>
      </c>
    </row>
    <row r="675" spans="1:21" ht="30.6">
      <c r="A675" s="6">
        <v>43426.042048611111</v>
      </c>
      <c r="B675" s="7" t="str">
        <f>HYPERLINK("https://twitter.com/prensafresca","@prensafresca")</f>
        <v>@prensafresca</v>
      </c>
      <c r="C675" s="8" t="s">
        <v>2523</v>
      </c>
      <c r="D675" s="9" t="s">
        <v>2524</v>
      </c>
      <c r="E675" s="10" t="str">
        <f>HYPERLINK("https://twitter.com/prensafresca/status/1065530461114589184","1065530461114589184")</f>
        <v>1065530461114589184</v>
      </c>
      <c r="F675" s="11" t="s">
        <v>2525</v>
      </c>
      <c r="G675" s="12"/>
      <c r="H675" s="12"/>
      <c r="I675" s="13">
        <v>2</v>
      </c>
      <c r="J675" s="13">
        <v>0</v>
      </c>
      <c r="K675" s="14" t="str">
        <f>HYPERLINK("http://notAWebYet.com","Tuitulares_v2")</f>
        <v>Tuitulares_v2</v>
      </c>
      <c r="L675" s="13">
        <v>3928</v>
      </c>
      <c r="M675" s="13">
        <v>2611</v>
      </c>
      <c r="N675" s="13">
        <v>85</v>
      </c>
      <c r="O675" s="15"/>
      <c r="P675" s="6">
        <v>42414.31313657407</v>
      </c>
      <c r="Q675" s="12"/>
      <c r="R675" s="16" t="s">
        <v>2526</v>
      </c>
      <c r="S675" s="12"/>
      <c r="T675" s="12"/>
      <c r="U675" s="10" t="str">
        <f>HYPERLINK("https://pbs.twimg.com/profile_images/712044672676397058/2n9qvNh2.jpg","View")</f>
        <v>View</v>
      </c>
    </row>
    <row r="676" spans="1:21" ht="20.399999999999999">
      <c r="A676" s="6">
        <v>43426.041666666672</v>
      </c>
      <c r="B676" s="7" t="str">
        <f>HYPERLINK("https://twitter.com/eljueves","@eljueves")</f>
        <v>@eljueves</v>
      </c>
      <c r="C676" s="8" t="s">
        <v>811</v>
      </c>
      <c r="D676" s="9" t="s">
        <v>697</v>
      </c>
      <c r="E676" s="10" t="str">
        <f>HYPERLINK("https://twitter.com/eljueves/status/1065530324883431424","1065530324883431424")</f>
        <v>1065530324883431424</v>
      </c>
      <c r="F676" s="11" t="s">
        <v>2527</v>
      </c>
      <c r="G676" s="12"/>
      <c r="H676" s="12"/>
      <c r="I676" s="13">
        <v>44</v>
      </c>
      <c r="J676" s="13">
        <v>114</v>
      </c>
      <c r="K676" s="14" t="str">
        <f>HYPERLINK("https://about.twitter.com/products/tweetdeck","TweetDeck")</f>
        <v>TweetDeck</v>
      </c>
      <c r="L676" s="13">
        <v>1094238</v>
      </c>
      <c r="M676" s="13">
        <v>598</v>
      </c>
      <c r="N676" s="13">
        <v>6084</v>
      </c>
      <c r="O676" s="19" t="s">
        <v>74</v>
      </c>
      <c r="P676" s="6">
        <v>39757.339386574073</v>
      </c>
      <c r="Q676" s="17" t="s">
        <v>29</v>
      </c>
      <c r="R676" s="16" t="s">
        <v>812</v>
      </c>
      <c r="S676" s="11" t="s">
        <v>813</v>
      </c>
      <c r="T676" s="12"/>
      <c r="U676" s="10" t="str">
        <f>HYPERLINK("https://pbs.twimg.com/profile_images/378800000384529554/ce1c0f07805fb6c778364d8ad578a349.png","View")</f>
        <v>View</v>
      </c>
    </row>
    <row r="677" spans="1:21" ht="20.399999999999999">
      <c r="A677" s="6">
        <v>43426.04142361111</v>
      </c>
      <c r="B677" s="7" t="str">
        <f>HYPERLINK("https://twitter.com/ARAcultura","@ARAcultura")</f>
        <v>@ARAcultura</v>
      </c>
      <c r="C677" s="8" t="s">
        <v>2529</v>
      </c>
      <c r="D677" s="9" t="s">
        <v>2530</v>
      </c>
      <c r="E677" s="10" t="str">
        <f>HYPERLINK("https://twitter.com/ARAcultura/status/1065530234475294720","1065530234475294720")</f>
        <v>1065530234475294720</v>
      </c>
      <c r="F677" s="11" t="s">
        <v>2532</v>
      </c>
      <c r="G677" s="12"/>
      <c r="H677" s="12"/>
      <c r="I677" s="13">
        <v>0</v>
      </c>
      <c r="J677" s="13">
        <v>0</v>
      </c>
      <c r="K677" s="14" t="str">
        <f>HYPERLINK("http://twitter.com","Twitter Web Client")</f>
        <v>Twitter Web Client</v>
      </c>
      <c r="L677" s="13">
        <v>42414</v>
      </c>
      <c r="M677" s="13">
        <v>1468</v>
      </c>
      <c r="N677" s="13">
        <v>920</v>
      </c>
      <c r="O677" s="15"/>
      <c r="P677" s="6">
        <v>40444.338506944448</v>
      </c>
      <c r="Q677" s="17" t="s">
        <v>419</v>
      </c>
      <c r="R677" s="16" t="s">
        <v>2533</v>
      </c>
      <c r="S677" s="11" t="s">
        <v>2534</v>
      </c>
      <c r="T677" s="12"/>
      <c r="U677" s="10" t="str">
        <f>HYPERLINK("https://pbs.twimg.com/profile_images/878174668808744961/FiPZ2YOJ.jpg","View")</f>
        <v>View</v>
      </c>
    </row>
    <row r="678" spans="1:21" ht="30.6">
      <c r="A678" s="6">
        <v>43426.041226851856</v>
      </c>
      <c r="B678" s="7" t="str">
        <f>HYPERLINK("https://twitter.com/DamnAlbers","@DamnAlbers")</f>
        <v>@DamnAlbers</v>
      </c>
      <c r="C678" s="8" t="s">
        <v>2535</v>
      </c>
      <c r="D678" s="9" t="s">
        <v>2536</v>
      </c>
      <c r="E678" s="10" t="str">
        <f>HYPERLINK("https://twitter.com/DamnAlbers/status/1065530164321361920","1065530164321361920")</f>
        <v>1065530164321361920</v>
      </c>
      <c r="F678" s="17" t="s">
        <v>1622</v>
      </c>
      <c r="G678" s="12"/>
      <c r="H678" s="12"/>
      <c r="I678" s="13">
        <v>0</v>
      </c>
      <c r="J678" s="13">
        <v>1</v>
      </c>
      <c r="K678" s="14" t="str">
        <f t="shared" ref="K678:K680" si="135">HYPERLINK("http://twitter.com/download/android","Twitter for Android")</f>
        <v>Twitter for Android</v>
      </c>
      <c r="L678" s="13">
        <v>243</v>
      </c>
      <c r="M678" s="13">
        <v>1084</v>
      </c>
      <c r="N678" s="13">
        <v>11</v>
      </c>
      <c r="O678" s="15"/>
      <c r="P678" s="6">
        <v>40293.6409375</v>
      </c>
      <c r="Q678" s="17" t="s">
        <v>179</v>
      </c>
      <c r="R678" s="16" t="s">
        <v>2537</v>
      </c>
      <c r="S678" s="11" t="s">
        <v>2538</v>
      </c>
      <c r="T678" s="12"/>
      <c r="U678" s="10" t="str">
        <f>HYPERLINK("https://pbs.twimg.com/profile_images/963430334581878784/4mWWyfYo.jpg","View")</f>
        <v>View</v>
      </c>
    </row>
    <row r="679" spans="1:21" ht="40.799999999999997">
      <c r="A679" s="6">
        <v>43426.039606481485</v>
      </c>
      <c r="B679" s="7" t="str">
        <f>HYPERLINK("https://twitter.com/CFeans","@CFeans")</f>
        <v>@CFeans</v>
      </c>
      <c r="C679" s="8" t="s">
        <v>2539</v>
      </c>
      <c r="D679" s="9" t="s">
        <v>2540</v>
      </c>
      <c r="E679" s="10" t="str">
        <f>HYPERLINK("https://twitter.com/CFeans/status/1065529577588559872","1065529577588559872")</f>
        <v>1065529577588559872</v>
      </c>
      <c r="F679" s="12"/>
      <c r="G679" s="12"/>
      <c r="H679" s="12"/>
      <c r="I679" s="13">
        <v>0</v>
      </c>
      <c r="J679" s="13">
        <v>0</v>
      </c>
      <c r="K679" s="14" t="str">
        <f t="shared" si="135"/>
        <v>Twitter for Android</v>
      </c>
      <c r="L679" s="13">
        <v>33</v>
      </c>
      <c r="M679" s="13">
        <v>180</v>
      </c>
      <c r="N679" s="13">
        <v>0</v>
      </c>
      <c r="O679" s="15"/>
      <c r="P679" s="6">
        <v>43425.182152777779</v>
      </c>
      <c r="Q679" s="17" t="s">
        <v>2541</v>
      </c>
      <c r="R679" s="16" t="s">
        <v>2542</v>
      </c>
      <c r="S679" s="11" t="s">
        <v>2543</v>
      </c>
      <c r="T679" s="12"/>
      <c r="U679" s="10" t="str">
        <f>HYPERLINK("https://pbs.twimg.com/profile_images/1065221104577519616/TA2dnZiZ.jpg","View")</f>
        <v>View</v>
      </c>
    </row>
    <row r="680" spans="1:21" ht="51">
      <c r="A680" s="6">
        <v>43426.038831018523</v>
      </c>
      <c r="B680" s="7" t="str">
        <f>HYPERLINK("https://twitter.com/acidocuprico","@acidocuprico")</f>
        <v>@acidocuprico</v>
      </c>
      <c r="C680" s="8" t="s">
        <v>2544</v>
      </c>
      <c r="D680" s="9" t="s">
        <v>2545</v>
      </c>
      <c r="E680" s="10" t="str">
        <f>HYPERLINK("https://twitter.com/acidocuprico/status/1065529298155696128","1065529298155696128")</f>
        <v>1065529298155696128</v>
      </c>
      <c r="F680" s="12"/>
      <c r="G680" s="12"/>
      <c r="H680" s="12"/>
      <c r="I680" s="13">
        <v>0</v>
      </c>
      <c r="J680" s="13">
        <v>0</v>
      </c>
      <c r="K680" s="14" t="str">
        <f t="shared" si="135"/>
        <v>Twitter for Android</v>
      </c>
      <c r="L680" s="13">
        <v>1585</v>
      </c>
      <c r="M680" s="13">
        <v>323</v>
      </c>
      <c r="N680" s="13">
        <v>40</v>
      </c>
      <c r="O680" s="15"/>
      <c r="P680" s="6">
        <v>40924.180474537039</v>
      </c>
      <c r="Q680" s="12"/>
      <c r="R680" s="16" t="s">
        <v>2546</v>
      </c>
      <c r="S680" s="12"/>
      <c r="T680" s="12"/>
      <c r="U680" s="10" t="str">
        <f>HYPERLINK("https://pbs.twimg.com/profile_images/626741108614262784/Rn7OMCur.jpg","View")</f>
        <v>View</v>
      </c>
    </row>
    <row r="681" spans="1:21" ht="20.399999999999999">
      <c r="A681" s="6">
        <v>43426.036041666666</v>
      </c>
      <c r="B681" s="7" t="str">
        <f>HYPERLINK("https://twitter.com/lolapastur","@lolapastur")</f>
        <v>@lolapastur</v>
      </c>
      <c r="C681" s="8" t="s">
        <v>1047</v>
      </c>
      <c r="D681" s="9" t="s">
        <v>2276</v>
      </c>
      <c r="E681" s="10" t="str">
        <f>HYPERLINK("https://twitter.com/lolapastur/status/1065528286703435776","1065528286703435776")</f>
        <v>1065528286703435776</v>
      </c>
      <c r="F681" s="11" t="s">
        <v>1169</v>
      </c>
      <c r="G681" s="12"/>
      <c r="H681" s="12"/>
      <c r="I681" s="13">
        <v>0</v>
      </c>
      <c r="J681" s="13">
        <v>0</v>
      </c>
      <c r="K681" s="14" t="str">
        <f>HYPERLINK("http://twitter.com/download/iphone","Twitter for iPhone")</f>
        <v>Twitter for iPhone</v>
      </c>
      <c r="L681" s="13">
        <v>3768</v>
      </c>
      <c r="M681" s="13">
        <v>2836</v>
      </c>
      <c r="N681" s="13">
        <v>32</v>
      </c>
      <c r="O681" s="15"/>
      <c r="P681" s="6">
        <v>40913.224293981482</v>
      </c>
      <c r="Q681" s="12"/>
      <c r="R681" s="16" t="s">
        <v>1050</v>
      </c>
      <c r="S681" s="12"/>
      <c r="T681" s="12"/>
      <c r="U681" s="10" t="str">
        <f>HYPERLINK("https://pbs.twimg.com/profile_images/934821295736451073/tnymHvNj.jpg","View")</f>
        <v>View</v>
      </c>
    </row>
    <row r="682" spans="1:21" ht="40.799999999999997">
      <c r="A682" s="6">
        <v>43426.035914351851</v>
      </c>
      <c r="B682" s="7" t="str">
        <f>HYPERLINK("https://twitter.com/JuanPorcel4","@JuanPorcel4")</f>
        <v>@JuanPorcel4</v>
      </c>
      <c r="C682" s="8" t="s">
        <v>2547</v>
      </c>
      <c r="D682" s="9" t="s">
        <v>2548</v>
      </c>
      <c r="E682" s="10" t="str">
        <f>HYPERLINK("https://twitter.com/JuanPorcel4/status/1065528240410947584","1065528240410947584")</f>
        <v>1065528240410947584</v>
      </c>
      <c r="F682" s="12"/>
      <c r="G682" s="12"/>
      <c r="H682" s="12"/>
      <c r="I682" s="13">
        <v>7</v>
      </c>
      <c r="J682" s="13">
        <v>14</v>
      </c>
      <c r="K682" s="14" t="str">
        <f>HYPERLINK("http://twitter.com/download/android","Twitter for Android")</f>
        <v>Twitter for Android</v>
      </c>
      <c r="L682" s="13">
        <v>3084</v>
      </c>
      <c r="M682" s="13">
        <v>2958</v>
      </c>
      <c r="N682" s="13">
        <v>11</v>
      </c>
      <c r="O682" s="15"/>
      <c r="P682" s="6">
        <v>42017.118437500001</v>
      </c>
      <c r="Q682" s="12"/>
      <c r="R682" s="16" t="s">
        <v>2549</v>
      </c>
      <c r="S682" s="12"/>
      <c r="T682" s="12"/>
      <c r="U682" s="10" t="str">
        <f>HYPERLINK("https://pbs.twimg.com/profile_images/690614624547397636/n_PV23Tm.jpg","View")</f>
        <v>View</v>
      </c>
    </row>
    <row r="683" spans="1:21" ht="20.399999999999999">
      <c r="A683" s="6">
        <v>43426.035474537042</v>
      </c>
      <c r="B683" s="7" t="str">
        <f>HYPERLINK("https://twitter.com/CristoFeliz1","@CristoFeliz1")</f>
        <v>@CristoFeliz1</v>
      </c>
      <c r="C683" s="8" t="s">
        <v>2423</v>
      </c>
      <c r="D683" s="9" t="s">
        <v>1064</v>
      </c>
      <c r="E683" s="10" t="str">
        <f>HYPERLINK("https://twitter.com/CristoFeliz1/status/1065528081048252416","1065528081048252416")</f>
        <v>1065528081048252416</v>
      </c>
      <c r="F683" s="11" t="s">
        <v>2550</v>
      </c>
      <c r="G683" s="11" t="s">
        <v>2551</v>
      </c>
      <c r="H683" s="12"/>
      <c r="I683" s="13">
        <v>0</v>
      </c>
      <c r="J683" s="13">
        <v>0</v>
      </c>
      <c r="K683" s="14" t="str">
        <f>HYPERLINK("https://dlvrit.com/","dlvr.it")</f>
        <v>dlvr.it</v>
      </c>
      <c r="L683" s="13">
        <v>7046</v>
      </c>
      <c r="M683" s="13">
        <v>7743</v>
      </c>
      <c r="N683" s="13">
        <v>561</v>
      </c>
      <c r="O683" s="15"/>
      <c r="P683" s="6">
        <v>41186.491469907407</v>
      </c>
      <c r="Q683" s="17" t="s">
        <v>805</v>
      </c>
      <c r="R683" s="16" t="s">
        <v>2426</v>
      </c>
      <c r="S683" s="12"/>
      <c r="T683" s="12"/>
      <c r="U683" s="10" t="str">
        <f>HYPERLINK("https://pbs.twimg.com/profile_images/1002564938911703040/1Wvxy6Jm.jpg","View")</f>
        <v>View</v>
      </c>
    </row>
    <row r="684" spans="1:21" ht="20.399999999999999">
      <c r="A684" s="6">
        <v>43426.031493055554</v>
      </c>
      <c r="B684" s="7" t="str">
        <f>HYPERLINK("https://twitter.com/BobEstropajo","@BobEstropajo")</f>
        <v>@BobEstropajo</v>
      </c>
      <c r="C684" s="8" t="s">
        <v>297</v>
      </c>
      <c r="D684" s="9" t="s">
        <v>2552</v>
      </c>
      <c r="E684" s="10" t="str">
        <f>HYPERLINK("https://twitter.com/BobEstropajo/status/1065526635959586819","1065526635959586819")</f>
        <v>1065526635959586819</v>
      </c>
      <c r="F684" s="12"/>
      <c r="G684" s="12"/>
      <c r="H684" s="12"/>
      <c r="I684" s="13">
        <v>10</v>
      </c>
      <c r="J684" s="13">
        <v>35</v>
      </c>
      <c r="K684" s="14" t="str">
        <f>HYPERLINK("http://twitter.com","Twitter Web Client")</f>
        <v>Twitter Web Client</v>
      </c>
      <c r="L684" s="13">
        <v>86431</v>
      </c>
      <c r="M684" s="13">
        <v>4128</v>
      </c>
      <c r="N684" s="13">
        <v>770</v>
      </c>
      <c r="O684" s="15"/>
      <c r="P684" s="6">
        <v>41891.663900462961</v>
      </c>
      <c r="Q684" s="17" t="s">
        <v>299</v>
      </c>
      <c r="R684" s="16" t="s">
        <v>300</v>
      </c>
      <c r="S684" s="11" t="s">
        <v>301</v>
      </c>
      <c r="T684" s="12"/>
      <c r="U684" s="10" t="str">
        <f>HYPERLINK("https://pbs.twimg.com/profile_images/1059213646692315136/5KWHyXrN.jpg","View")</f>
        <v>View</v>
      </c>
    </row>
    <row r="685" spans="1:21" ht="40.799999999999997">
      <c r="A685" s="6">
        <v>43426.030960648146</v>
      </c>
      <c r="B685" s="7" t="str">
        <f>HYPERLINK("https://twitter.com/Xuxipc","@Xuxipc")</f>
        <v>@Xuxipc</v>
      </c>
      <c r="C685" s="8" t="s">
        <v>1361</v>
      </c>
      <c r="D685" s="9" t="s">
        <v>2553</v>
      </c>
      <c r="E685" s="10" t="str">
        <f>HYPERLINK("https://twitter.com/Xuxipc/status/1065526442962890752","1065526442962890752")</f>
        <v>1065526442962890752</v>
      </c>
      <c r="F685" s="12"/>
      <c r="G685" s="12"/>
      <c r="H685" s="12"/>
      <c r="I685" s="13">
        <v>77</v>
      </c>
      <c r="J685" s="13">
        <v>197</v>
      </c>
      <c r="K685" s="14" t="str">
        <f>HYPERLINK("http://twitter.com/download/android","Twitter for Android")</f>
        <v>Twitter for Android</v>
      </c>
      <c r="L685" s="13">
        <v>182356</v>
      </c>
      <c r="M685" s="13">
        <v>280</v>
      </c>
      <c r="N685" s="13">
        <v>1244</v>
      </c>
      <c r="O685" s="15"/>
      <c r="P685" s="6">
        <v>41297.293078703704</v>
      </c>
      <c r="Q685" s="17" t="s">
        <v>1363</v>
      </c>
      <c r="R685" s="16" t="s">
        <v>1364</v>
      </c>
      <c r="S685" s="11" t="s">
        <v>1365</v>
      </c>
      <c r="T685" s="12"/>
      <c r="U685" s="10" t="str">
        <f>HYPERLINK("https://pbs.twimg.com/profile_images/1060442492217290752/p4rkMs-Y.jpg","View")</f>
        <v>View</v>
      </c>
    </row>
    <row r="686" spans="1:21" ht="30.6">
      <c r="A686" s="6">
        <v>43426.027106481481</v>
      </c>
      <c r="B686" s="7" t="str">
        <f>HYPERLINK("https://twitter.com/ElHuffPost","@ElHuffPost")</f>
        <v>@ElHuffPost</v>
      </c>
      <c r="C686" s="8" t="s">
        <v>467</v>
      </c>
      <c r="D686" s="9" t="s">
        <v>1064</v>
      </c>
      <c r="E686" s="10" t="str">
        <f>HYPERLINK("https://twitter.com/ElHuffPost/status/1065525047937388545","1065525047937388545")</f>
        <v>1065525047937388545</v>
      </c>
      <c r="F686" s="11" t="s">
        <v>2522</v>
      </c>
      <c r="G686" s="12"/>
      <c r="H686" s="12"/>
      <c r="I686" s="13">
        <v>1</v>
      </c>
      <c r="J686" s="13">
        <v>1</v>
      </c>
      <c r="K686" s="14" t="str">
        <f>HYPERLINK("https://about.twitter.com/products/tweetdeck","TweetDeck")</f>
        <v>TweetDeck</v>
      </c>
      <c r="L686" s="13">
        <v>430323</v>
      </c>
      <c r="M686" s="13">
        <v>1532</v>
      </c>
      <c r="N686" s="13">
        <v>8186</v>
      </c>
      <c r="O686" s="19" t="s">
        <v>74</v>
      </c>
      <c r="P686" s="6">
        <v>40784.652118055557</v>
      </c>
      <c r="Q686" s="17" t="s">
        <v>203</v>
      </c>
      <c r="R686" s="16" t="s">
        <v>471</v>
      </c>
      <c r="S686" s="11" t="s">
        <v>472</v>
      </c>
      <c r="T686" s="12"/>
      <c r="U686" s="10" t="str">
        <f>HYPERLINK("https://pbs.twimg.com/profile_images/921140803422089217/ETOEUOAx.jpg","View")</f>
        <v>View</v>
      </c>
    </row>
    <row r="687" spans="1:21" ht="61.2">
      <c r="A687" s="6">
        <v>43426.026608796295</v>
      </c>
      <c r="B687" s="7" t="str">
        <f>HYPERLINK("https://twitter.com/marcos_martino","@marcos_martino")</f>
        <v>@marcos_martino</v>
      </c>
      <c r="C687" s="8" t="s">
        <v>2554</v>
      </c>
      <c r="D687" s="9" t="s">
        <v>2555</v>
      </c>
      <c r="E687" s="10" t="str">
        <f>HYPERLINK("https://twitter.com/marcos_martino/status/1065524867141984256","1065524867141984256")</f>
        <v>1065524867141984256</v>
      </c>
      <c r="F687" s="12"/>
      <c r="G687" s="12"/>
      <c r="H687" s="12"/>
      <c r="I687" s="13">
        <v>0</v>
      </c>
      <c r="J687" s="13">
        <v>1</v>
      </c>
      <c r="K687" s="14" t="str">
        <f>HYPERLINK("http://twitter.com","Twitter Web Client")</f>
        <v>Twitter Web Client</v>
      </c>
      <c r="L687" s="13">
        <v>305</v>
      </c>
      <c r="M687" s="13">
        <v>652</v>
      </c>
      <c r="N687" s="13">
        <v>10</v>
      </c>
      <c r="O687" s="15"/>
      <c r="P687" s="6">
        <v>41647.311678240745</v>
      </c>
      <c r="Q687" s="17" t="s">
        <v>2556</v>
      </c>
      <c r="R687" s="16" t="s">
        <v>2557</v>
      </c>
      <c r="S687" s="11" t="s">
        <v>2558</v>
      </c>
      <c r="T687" s="12"/>
      <c r="U687" s="10" t="str">
        <f>HYPERLINK("https://pbs.twimg.com/profile_images/972007795666096128/Fy5bMFt9.jpg","View")</f>
        <v>View</v>
      </c>
    </row>
    <row r="688" spans="1:21" ht="40.799999999999997">
      <c r="A688" s="6">
        <v>43426.024988425925</v>
      </c>
      <c r="B688" s="7" t="str">
        <f>HYPERLINK("https://twitter.com/Nine_Stories","@Nine_Stories")</f>
        <v>@Nine_Stories</v>
      </c>
      <c r="C688" s="8" t="s">
        <v>2559</v>
      </c>
      <c r="D688" s="9" t="s">
        <v>2560</v>
      </c>
      <c r="E688" s="10" t="str">
        <f>HYPERLINK("https://twitter.com/Nine_Stories/status/1065524280887312384","1065524280887312384")</f>
        <v>1065524280887312384</v>
      </c>
      <c r="F688" s="12"/>
      <c r="G688" s="11" t="s">
        <v>2561</v>
      </c>
      <c r="H688" s="12"/>
      <c r="I688" s="13">
        <v>1</v>
      </c>
      <c r="J688" s="13">
        <v>3</v>
      </c>
      <c r="K688" s="14" t="str">
        <f>HYPERLINK("http://twitter.com/download/iphone","Twitter for iPhone")</f>
        <v>Twitter for iPhone</v>
      </c>
      <c r="L688" s="13">
        <v>2166</v>
      </c>
      <c r="M688" s="13">
        <v>787</v>
      </c>
      <c r="N688" s="13">
        <v>68</v>
      </c>
      <c r="O688" s="15"/>
      <c r="P688" s="6">
        <v>39960.635648148149</v>
      </c>
      <c r="Q688" s="17" t="s">
        <v>76</v>
      </c>
      <c r="R688" s="16" t="s">
        <v>2562</v>
      </c>
      <c r="S688" s="11" t="s">
        <v>2563</v>
      </c>
      <c r="T688" s="12"/>
      <c r="U688" s="10" t="str">
        <f>HYPERLINK("https://pbs.twimg.com/profile_images/939313343638200321/q1OD5Kuu.jpg","View")</f>
        <v>View</v>
      </c>
    </row>
    <row r="689" spans="1:21" ht="61.2">
      <c r="A689" s="6">
        <v>43426.02449074074</v>
      </c>
      <c r="B689" s="7" t="str">
        <f>HYPERLINK("https://twitter.com/Omar17052980","@Omar17052980")</f>
        <v>@Omar17052980</v>
      </c>
      <c r="C689" s="8" t="s">
        <v>2564</v>
      </c>
      <c r="D689" s="9" t="s">
        <v>2565</v>
      </c>
      <c r="E689" s="10" t="str">
        <f>HYPERLINK("https://twitter.com/Omar17052980/status/1065524098103685120","1065524098103685120")</f>
        <v>1065524098103685120</v>
      </c>
      <c r="F689" s="12"/>
      <c r="G689" s="12"/>
      <c r="H689" s="12"/>
      <c r="I689" s="13">
        <v>2</v>
      </c>
      <c r="J689" s="13">
        <v>4</v>
      </c>
      <c r="K689" s="14" t="str">
        <f>HYPERLINK("http://twitter.com/download/android","Twitter for Android")</f>
        <v>Twitter for Android</v>
      </c>
      <c r="L689" s="13">
        <v>136</v>
      </c>
      <c r="M689" s="13">
        <v>486</v>
      </c>
      <c r="N689" s="13">
        <v>0</v>
      </c>
      <c r="O689" s="15"/>
      <c r="P689" s="6">
        <v>43417.408217592594</v>
      </c>
      <c r="Q689" s="12"/>
      <c r="R689" s="16" t="s">
        <v>2566</v>
      </c>
      <c r="S689" s="12"/>
      <c r="T689" s="12"/>
      <c r="U689" s="10" t="str">
        <f>HYPERLINK("https://pbs.twimg.com/profile_images/1062403107823460353/PDzmls1D.jpg","View")</f>
        <v>View</v>
      </c>
    </row>
    <row r="690" spans="1:21" ht="13.2">
      <c r="A690" s="6">
        <v>43426.023865740739</v>
      </c>
      <c r="B690" s="7" t="str">
        <f>HYPERLINK("https://twitter.com/ojetejohnson","@ojetejohnson")</f>
        <v>@ojetejohnson</v>
      </c>
      <c r="C690" s="8" t="s">
        <v>2567</v>
      </c>
      <c r="D690" s="9" t="s">
        <v>2568</v>
      </c>
      <c r="E690" s="10" t="str">
        <f>HYPERLINK("https://twitter.com/ojetejohnson/status/1065523875151269889","1065523875151269889")</f>
        <v>1065523875151269889</v>
      </c>
      <c r="F690" s="12"/>
      <c r="G690" s="12"/>
      <c r="H690" s="12"/>
      <c r="I690" s="13">
        <v>0</v>
      </c>
      <c r="J690" s="13">
        <v>4</v>
      </c>
      <c r="K690" s="14" t="str">
        <f>HYPERLINK("http://twitter.com","Twitter Web Client")</f>
        <v>Twitter Web Client</v>
      </c>
      <c r="L690" s="13">
        <v>154</v>
      </c>
      <c r="M690" s="13">
        <v>523</v>
      </c>
      <c r="N690" s="13">
        <v>1</v>
      </c>
      <c r="O690" s="15"/>
      <c r="P690" s="6">
        <v>41070.336828703701</v>
      </c>
      <c r="Q690" s="17" t="s">
        <v>2569</v>
      </c>
      <c r="R690" s="16" t="s">
        <v>2570</v>
      </c>
      <c r="S690" s="11" t="s">
        <v>2571</v>
      </c>
      <c r="T690" s="12"/>
      <c r="U690" s="10" t="str">
        <f>HYPERLINK("https://pbs.twimg.com/profile_images/1017834520874291201/6bjbM7-W.jpg","View")</f>
        <v>View</v>
      </c>
    </row>
    <row r="691" spans="1:21" ht="51">
      <c r="A691" s="6">
        <v>43426.02380787037</v>
      </c>
      <c r="B691" s="7" t="str">
        <f>HYPERLINK("https://twitter.com/Francis98204014","@Francis98204014")</f>
        <v>@Francis98204014</v>
      </c>
      <c r="C691" s="8" t="s">
        <v>2572</v>
      </c>
      <c r="D691" s="9" t="s">
        <v>2573</v>
      </c>
      <c r="E691" s="10" t="str">
        <f>HYPERLINK("https://twitter.com/Francis98204014/status/1065523852598525952","1065523852598525952")</f>
        <v>1065523852598525952</v>
      </c>
      <c r="F691" s="12"/>
      <c r="G691" s="12"/>
      <c r="H691" s="12"/>
      <c r="I691" s="13">
        <v>8</v>
      </c>
      <c r="J691" s="13">
        <v>13</v>
      </c>
      <c r="K691" s="14" t="str">
        <f>HYPERLINK("http://twitter.com/download/android","Twitter for Android")</f>
        <v>Twitter for Android</v>
      </c>
      <c r="L691" s="13">
        <v>5425</v>
      </c>
      <c r="M691" s="13">
        <v>5160</v>
      </c>
      <c r="N691" s="13">
        <v>80</v>
      </c>
      <c r="O691" s="15"/>
      <c r="P691" s="6">
        <v>42023.604328703703</v>
      </c>
      <c r="Q691" s="12"/>
      <c r="R691" s="18"/>
      <c r="S691" s="12"/>
      <c r="T691" s="12"/>
      <c r="U691" s="10" t="str">
        <f>HYPERLINK("https://pbs.twimg.com/profile_images/557305420625502208/DgZmRbYl.jpeg","View")</f>
        <v>View</v>
      </c>
    </row>
    <row r="692" spans="1:21" ht="40.799999999999997">
      <c r="A692" s="6">
        <v>43426.022118055553</v>
      </c>
      <c r="B692" s="7" t="str">
        <f>HYPERLINK("https://twitter.com/iescolar","@iescolar")</f>
        <v>@iescolar</v>
      </c>
      <c r="C692" s="8" t="s">
        <v>942</v>
      </c>
      <c r="D692" s="9" t="s">
        <v>2574</v>
      </c>
      <c r="E692" s="10" t="str">
        <f>HYPERLINK("https://twitter.com/iescolar/status/1065523239819067393","1065523239819067393")</f>
        <v>1065523239819067393</v>
      </c>
      <c r="F692" s="11" t="s">
        <v>2576</v>
      </c>
      <c r="G692" s="11" t="s">
        <v>2577</v>
      </c>
      <c r="H692" s="12"/>
      <c r="I692" s="13">
        <v>174</v>
      </c>
      <c r="J692" s="13">
        <v>137</v>
      </c>
      <c r="K692" s="14" t="str">
        <f>HYPERLINK("http://twitter.com","Twitter Web Client")</f>
        <v>Twitter Web Client</v>
      </c>
      <c r="L692" s="13">
        <v>903275</v>
      </c>
      <c r="M692" s="13">
        <v>5425</v>
      </c>
      <c r="N692" s="13">
        <v>11976</v>
      </c>
      <c r="O692" s="19" t="s">
        <v>74</v>
      </c>
      <c r="P692" s="6">
        <v>39556.500960648147</v>
      </c>
      <c r="Q692" s="17" t="s">
        <v>944</v>
      </c>
      <c r="R692" s="16" t="s">
        <v>945</v>
      </c>
      <c r="S692" s="11" t="s">
        <v>693</v>
      </c>
      <c r="T692" s="12"/>
      <c r="U692" s="10" t="str">
        <f>HYPERLINK("https://pbs.twimg.com/profile_images/970684993231097856/30L3bCoG.jpg","View")</f>
        <v>View</v>
      </c>
    </row>
    <row r="693" spans="1:21" ht="40.799999999999997">
      <c r="A693" s="6">
        <v>43426.02071759259</v>
      </c>
      <c r="B693" s="7" t="str">
        <f>HYPERLINK("https://twitter.com/yolandabuma","@yolandabuma")</f>
        <v>@yolandabuma</v>
      </c>
      <c r="C693" s="8" t="s">
        <v>2580</v>
      </c>
      <c r="D693" s="9" t="s">
        <v>2581</v>
      </c>
      <c r="E693" s="10" t="str">
        <f>HYPERLINK("https://twitter.com/yolandabuma/status/1065522733117775873","1065522733117775873")</f>
        <v>1065522733117775873</v>
      </c>
      <c r="F693" s="12"/>
      <c r="G693" s="12"/>
      <c r="H693" s="12"/>
      <c r="I693" s="13">
        <v>0</v>
      </c>
      <c r="J693" s="13">
        <v>0</v>
      </c>
      <c r="K693" s="14" t="str">
        <f t="shared" ref="K693:K694" si="136">HYPERLINK("http://twitter.com/download/android","Twitter for Android")</f>
        <v>Twitter for Android</v>
      </c>
      <c r="L693" s="13">
        <v>141</v>
      </c>
      <c r="M693" s="13">
        <v>288</v>
      </c>
      <c r="N693" s="13">
        <v>8</v>
      </c>
      <c r="O693" s="15"/>
      <c r="P693" s="6">
        <v>40672.589178240742</v>
      </c>
      <c r="Q693" s="17" t="s">
        <v>2582</v>
      </c>
      <c r="R693" s="16" t="s">
        <v>2583</v>
      </c>
      <c r="S693" s="12"/>
      <c r="T693" s="12"/>
      <c r="U693" s="10" t="str">
        <f>HYPERLINK("https://pbs.twimg.com/profile_images/378800000193636389/bdd6bf13b1e9d474c68ec2a04f35cbc6.jpeg","View")</f>
        <v>View</v>
      </c>
    </row>
    <row r="694" spans="1:21" ht="51">
      <c r="A694" s="6">
        <v>43426.01898148148</v>
      </c>
      <c r="B694" s="7" t="str">
        <f>HYPERLINK("https://twitter.com/LuisJavierSanj2","@LuisJavierSanj2")</f>
        <v>@LuisJavierSanj2</v>
      </c>
      <c r="C694" s="8" t="s">
        <v>2584</v>
      </c>
      <c r="D694" s="9" t="s">
        <v>2585</v>
      </c>
      <c r="E694" s="10" t="str">
        <f>HYPERLINK("https://twitter.com/LuisJavierSanj2/status/1065522101250113536","1065522101250113536")</f>
        <v>1065522101250113536</v>
      </c>
      <c r="F694" s="11" t="s">
        <v>2586</v>
      </c>
      <c r="G694" s="12"/>
      <c r="H694" s="12"/>
      <c r="I694" s="13">
        <v>1</v>
      </c>
      <c r="J694" s="13">
        <v>0</v>
      </c>
      <c r="K694" s="14" t="str">
        <f t="shared" si="136"/>
        <v>Twitter for Android</v>
      </c>
      <c r="L694" s="13">
        <v>809</v>
      </c>
      <c r="M694" s="13">
        <v>1236</v>
      </c>
      <c r="N694" s="13">
        <v>1</v>
      </c>
      <c r="O694" s="15"/>
      <c r="P694" s="6">
        <v>43017.496759259258</v>
      </c>
      <c r="Q694" s="12"/>
      <c r="R694" s="16" t="s">
        <v>2587</v>
      </c>
      <c r="S694" s="12"/>
      <c r="T694" s="12"/>
      <c r="U694" s="10" t="str">
        <f>HYPERLINK("https://pbs.twimg.com/profile_images/983037090681245696/C-KQIcbF.jpg","View")</f>
        <v>View</v>
      </c>
    </row>
    <row r="695" spans="1:21" ht="30.6">
      <c r="A695" s="6">
        <v>43426.018240740741</v>
      </c>
      <c r="B695" s="7" t="str">
        <f>HYPERLINK("https://twitter.com/anaalonsogonza1","@anaalonsogonza1")</f>
        <v>@anaalonsogonza1</v>
      </c>
      <c r="C695" s="8" t="s">
        <v>2588</v>
      </c>
      <c r="D695" s="9" t="s">
        <v>2589</v>
      </c>
      <c r="E695" s="10" t="str">
        <f>HYPERLINK("https://twitter.com/anaalonsogonza1/status/1065521834861293568","1065521834861293568")</f>
        <v>1065521834861293568</v>
      </c>
      <c r="F695" s="11" t="s">
        <v>2118</v>
      </c>
      <c r="G695" s="12"/>
      <c r="H695" s="12"/>
      <c r="I695" s="13">
        <v>1</v>
      </c>
      <c r="J695" s="13">
        <v>2</v>
      </c>
      <c r="K695" s="14" t="str">
        <f>HYPERLINK("http://twitter.com/download/iphone","Twitter for iPhone")</f>
        <v>Twitter for iPhone</v>
      </c>
      <c r="L695" s="13">
        <v>1270</v>
      </c>
      <c r="M695" s="13">
        <v>993</v>
      </c>
      <c r="N695" s="13">
        <v>5</v>
      </c>
      <c r="O695" s="15"/>
      <c r="P695" s="6">
        <v>41919.624224537038</v>
      </c>
      <c r="Q695" s="17" t="s">
        <v>2590</v>
      </c>
      <c r="R695" s="16" t="s">
        <v>2591</v>
      </c>
      <c r="S695" s="12"/>
      <c r="T695" s="12"/>
      <c r="U695" s="10" t="str">
        <f>HYPERLINK("https://pbs.twimg.com/profile_images/990312828937605120/HdDMDHrN.jpg","View")</f>
        <v>View</v>
      </c>
    </row>
    <row r="696" spans="1:21" ht="13.2">
      <c r="A696" s="6">
        <v>43426.018182870372</v>
      </c>
      <c r="B696" s="7" t="str">
        <f>HYPERLINK("https://twitter.com/AndreaRodrimon","@AndreaRodrimon")</f>
        <v>@AndreaRodrimon</v>
      </c>
      <c r="C696" s="8" t="s">
        <v>2592</v>
      </c>
      <c r="D696" s="9" t="s">
        <v>2593</v>
      </c>
      <c r="E696" s="10" t="str">
        <f>HYPERLINK("https://twitter.com/AndreaRodrimon/status/1065521814728773632","1065521814728773632")</f>
        <v>1065521814728773632</v>
      </c>
      <c r="F696" s="12"/>
      <c r="G696" s="12"/>
      <c r="H696" s="12"/>
      <c r="I696" s="13">
        <v>0</v>
      </c>
      <c r="J696" s="13">
        <v>1</v>
      </c>
      <c r="K696" s="14" t="str">
        <f>HYPERLINK("http://twitter.com/download/android","Twitter for Android")</f>
        <v>Twitter for Android</v>
      </c>
      <c r="L696" s="13">
        <v>519</v>
      </c>
      <c r="M696" s="13">
        <v>860</v>
      </c>
      <c r="N696" s="13">
        <v>24</v>
      </c>
      <c r="O696" s="15"/>
      <c r="P696" s="6">
        <v>40467.84684027778</v>
      </c>
      <c r="Q696" s="17" t="s">
        <v>2594</v>
      </c>
      <c r="R696" s="16" t="s">
        <v>2595</v>
      </c>
      <c r="S696" s="12"/>
      <c r="T696" s="12"/>
      <c r="U696" s="10" t="str">
        <f>HYPERLINK("https://pbs.twimg.com/profile_images/960821668313739264/SIsuQVRk.jpg","View")</f>
        <v>View</v>
      </c>
    </row>
    <row r="697" spans="1:21" ht="40.799999999999997">
      <c r="A697" s="6">
        <v>43426.017974537041</v>
      </c>
      <c r="B697" s="7" t="str">
        <f>HYPERLINK("https://twitter.com/ilumion","@ilumion")</f>
        <v>@ilumion</v>
      </c>
      <c r="C697" s="8" t="s">
        <v>2596</v>
      </c>
      <c r="D697" s="9" t="s">
        <v>2597</v>
      </c>
      <c r="E697" s="10" t="str">
        <f>HYPERLINK("https://twitter.com/ilumion/status/1065521738954489856","1065521738954489856")</f>
        <v>1065521738954489856</v>
      </c>
      <c r="F697" s="12"/>
      <c r="G697" s="12"/>
      <c r="H697" s="12"/>
      <c r="I697" s="13">
        <v>0</v>
      </c>
      <c r="J697" s="13">
        <v>0</v>
      </c>
      <c r="K697" s="14" t="str">
        <f>HYPERLINK("http://twitter.com","Twitter Web Client")</f>
        <v>Twitter Web Client</v>
      </c>
      <c r="L697" s="13">
        <v>339</v>
      </c>
      <c r="M697" s="13">
        <v>316</v>
      </c>
      <c r="N697" s="13">
        <v>4</v>
      </c>
      <c r="O697" s="15"/>
      <c r="P697" s="6">
        <v>41506.483981481484</v>
      </c>
      <c r="Q697" s="17" t="s">
        <v>2598</v>
      </c>
      <c r="R697" s="16" t="s">
        <v>2599</v>
      </c>
      <c r="S697" s="12"/>
      <c r="T697" s="12"/>
      <c r="U697" s="10" t="str">
        <f>HYPERLINK("https://pbs.twimg.com/profile_images/949941189054263296/S6bfPa25.jpg","View")</f>
        <v>View</v>
      </c>
    </row>
    <row r="698" spans="1:21" ht="30.6">
      <c r="A698" s="6">
        <v>43426.017974537041</v>
      </c>
      <c r="B698" s="7" t="str">
        <f>HYPERLINK("https://twitter.com/maholboy","@maholboy")</f>
        <v>@maholboy</v>
      </c>
      <c r="C698" s="8" t="s">
        <v>1787</v>
      </c>
      <c r="D698" s="9" t="s">
        <v>2600</v>
      </c>
      <c r="E698" s="10" t="str">
        <f>HYPERLINK("https://twitter.com/maholboy/status/1065521736781897728","1065521736781897728")</f>
        <v>1065521736781897728</v>
      </c>
      <c r="F698" s="12"/>
      <c r="G698" s="12"/>
      <c r="H698" s="12"/>
      <c r="I698" s="13">
        <v>2</v>
      </c>
      <c r="J698" s="13">
        <v>2</v>
      </c>
      <c r="K698" s="14" t="str">
        <f t="shared" ref="K698:K699" si="137">HYPERLINK("http://twitter.com/download/android","Twitter for Android")</f>
        <v>Twitter for Android</v>
      </c>
      <c r="L698" s="13">
        <v>26</v>
      </c>
      <c r="M698" s="13">
        <v>27</v>
      </c>
      <c r="N698" s="13">
        <v>0</v>
      </c>
      <c r="O698" s="15"/>
      <c r="P698" s="6">
        <v>43239.477951388893</v>
      </c>
      <c r="Q698" s="12"/>
      <c r="R698" s="18"/>
      <c r="S698" s="12"/>
      <c r="T698" s="12"/>
      <c r="U698" s="10" t="str">
        <f>HYPERLINK("https://pbs.twimg.com/profile_images/1042705776240930816/Odtmwyz3.jpg","View")</f>
        <v>View</v>
      </c>
    </row>
    <row r="699" spans="1:21" ht="51">
      <c r="A699" s="6">
        <v>43426.017916666664</v>
      </c>
      <c r="B699" s="7" t="str">
        <f>HYPERLINK("https://twitter.com/blogsocietat","@blogsocietat")</f>
        <v>@blogsocietat</v>
      </c>
      <c r="C699" s="8" t="s">
        <v>2601</v>
      </c>
      <c r="D699" s="9" t="s">
        <v>2602</v>
      </c>
      <c r="E699" s="10" t="str">
        <f>HYPERLINK("https://twitter.com/blogsocietat/status/1065521719195115520","1065521719195115520")</f>
        <v>1065521719195115520</v>
      </c>
      <c r="F699" s="12"/>
      <c r="G699" s="12"/>
      <c r="H699" s="12"/>
      <c r="I699" s="13">
        <v>348</v>
      </c>
      <c r="J699" s="13">
        <v>714</v>
      </c>
      <c r="K699" s="14" t="str">
        <f t="shared" si="137"/>
        <v>Twitter for Android</v>
      </c>
      <c r="L699" s="13">
        <v>17950</v>
      </c>
      <c r="M699" s="13">
        <v>2386</v>
      </c>
      <c r="N699" s="13">
        <v>132</v>
      </c>
      <c r="O699" s="15"/>
      <c r="P699" s="6">
        <v>40539.637303240743</v>
      </c>
      <c r="Q699" s="12"/>
      <c r="R699" s="16" t="s">
        <v>2603</v>
      </c>
      <c r="S699" s="11" t="s">
        <v>2604</v>
      </c>
      <c r="T699" s="12"/>
      <c r="U699" s="10" t="str">
        <f>HYPERLINK("https://pbs.twimg.com/profile_images/1043821865070940160/sYPA3rAv.jpg","View")</f>
        <v>View</v>
      </c>
    </row>
    <row r="700" spans="1:21" ht="30.6">
      <c r="A700" s="6">
        <v>43426.017662037033</v>
      </c>
      <c r="B700" s="7" t="str">
        <f>HYPERLINK("https://twitter.com/psoepinto","@psoepinto")</f>
        <v>@psoepinto</v>
      </c>
      <c r="C700" s="8" t="s">
        <v>2605</v>
      </c>
      <c r="D700" s="9" t="s">
        <v>2606</v>
      </c>
      <c r="E700" s="10" t="str">
        <f>HYPERLINK("https://twitter.com/psoepinto/status/1065521623397269505","1065521623397269505")</f>
        <v>1065521623397269505</v>
      </c>
      <c r="F700" s="12"/>
      <c r="G700" s="12"/>
      <c r="H700" s="12"/>
      <c r="I700" s="13">
        <v>1</v>
      </c>
      <c r="J700" s="13">
        <v>1</v>
      </c>
      <c r="K700" s="14" t="str">
        <f>HYPERLINK("https://mobile.twitter.com","Twitter Lite")</f>
        <v>Twitter Lite</v>
      </c>
      <c r="L700" s="13">
        <v>2106</v>
      </c>
      <c r="M700" s="13">
        <v>1798</v>
      </c>
      <c r="N700" s="13">
        <v>40</v>
      </c>
      <c r="O700" s="15"/>
      <c r="P700" s="6">
        <v>40301.370416666665</v>
      </c>
      <c r="Q700" s="17" t="s">
        <v>2607</v>
      </c>
      <c r="R700" s="16" t="s">
        <v>2608</v>
      </c>
      <c r="S700" s="11" t="s">
        <v>2609</v>
      </c>
      <c r="T700" s="12"/>
      <c r="U700" s="10" t="str">
        <f>HYPERLINK("https://pbs.twimg.com/profile_images/1048678871753785353/HMEd3d2r.jpg","View")</f>
        <v>View</v>
      </c>
    </row>
    <row r="701" spans="1:21" ht="81.599999999999994">
      <c r="A701" s="6">
        <v>43426.017199074078</v>
      </c>
      <c r="B701" s="7" t="str">
        <f>HYPERLINK("https://twitter.com/Virginiapalonso","@Virginiapalonso")</f>
        <v>@Virginiapalonso</v>
      </c>
      <c r="C701" s="8" t="s">
        <v>2610</v>
      </c>
      <c r="D701" s="9" t="s">
        <v>2611</v>
      </c>
      <c r="E701" s="10" t="str">
        <f>HYPERLINK("https://twitter.com/Virginiapalonso/status/1065521457382469634","1065521457382469634")</f>
        <v>1065521457382469634</v>
      </c>
      <c r="F701" s="17" t="s">
        <v>2612</v>
      </c>
      <c r="G701" s="12"/>
      <c r="H701" s="12"/>
      <c r="I701" s="13">
        <v>3</v>
      </c>
      <c r="J701" s="13">
        <v>6</v>
      </c>
      <c r="K701" s="14" t="str">
        <f>HYPERLINK("http://twitter.com/download/iphone","Twitter for iPhone")</f>
        <v>Twitter for iPhone</v>
      </c>
      <c r="L701" s="13">
        <v>32447</v>
      </c>
      <c r="M701" s="13">
        <v>2121</v>
      </c>
      <c r="N701" s="13">
        <v>1568</v>
      </c>
      <c r="O701" s="19" t="s">
        <v>74</v>
      </c>
      <c r="P701" s="6">
        <v>39826.384062500001</v>
      </c>
      <c r="Q701" s="17" t="s">
        <v>76</v>
      </c>
      <c r="R701" s="16" t="s">
        <v>2613</v>
      </c>
      <c r="S701" s="11" t="s">
        <v>1825</v>
      </c>
      <c r="T701" s="12"/>
      <c r="U701" s="10" t="str">
        <f>HYPERLINK("https://pbs.twimg.com/profile_images/992525871302037504/SVLBN0Df.jpg","View")</f>
        <v>View</v>
      </c>
    </row>
    <row r="702" spans="1:21" ht="40.799999999999997">
      <c r="A702" s="6">
        <v>43426.017071759255</v>
      </c>
      <c r="B702" s="7" t="str">
        <f>HYPERLINK("https://twitter.com/fanetin","@fanetin")</f>
        <v>@fanetin</v>
      </c>
      <c r="C702" s="8" t="s">
        <v>2614</v>
      </c>
      <c r="D702" s="9" t="s">
        <v>2615</v>
      </c>
      <c r="E702" s="10" t="str">
        <f>HYPERLINK("https://twitter.com/fanetin/status/1065521410834145286","1065521410834145286")</f>
        <v>1065521410834145286</v>
      </c>
      <c r="F702" s="12"/>
      <c r="G702" s="12"/>
      <c r="H702" s="12"/>
      <c r="I702" s="13">
        <v>367</v>
      </c>
      <c r="J702" s="13">
        <v>933</v>
      </c>
      <c r="K702" s="14" t="str">
        <f>HYPERLINK("http://twitter.com","Twitter Web Client")</f>
        <v>Twitter Web Client</v>
      </c>
      <c r="L702" s="13">
        <v>65408</v>
      </c>
      <c r="M702" s="13">
        <v>2583</v>
      </c>
      <c r="N702" s="13">
        <v>1746</v>
      </c>
      <c r="O702" s="19" t="s">
        <v>74</v>
      </c>
      <c r="P702" s="6">
        <v>39938.048206018517</v>
      </c>
      <c r="Q702" s="17" t="s">
        <v>2617</v>
      </c>
      <c r="R702" s="16" t="s">
        <v>2618</v>
      </c>
      <c r="S702" s="11" t="s">
        <v>2619</v>
      </c>
      <c r="T702" s="12"/>
      <c r="U702" s="10" t="str">
        <f>HYPERLINK("https://pbs.twimg.com/profile_images/927939033958928384/PGbEv9eM.jpg","View")</f>
        <v>View</v>
      </c>
    </row>
    <row r="703" spans="1:21" ht="20.399999999999999">
      <c r="A703" s="6">
        <v>43426.016909722224</v>
      </c>
      <c r="B703" s="7" t="str">
        <f>HYPERLINK("https://twitter.com/jaurrietaz","@jaurrietaz")</f>
        <v>@jaurrietaz</v>
      </c>
      <c r="C703" s="8" t="s">
        <v>2620</v>
      </c>
      <c r="D703" s="9" t="s">
        <v>2621</v>
      </c>
      <c r="E703" s="10" t="str">
        <f>HYPERLINK("https://twitter.com/jaurrietaz/status/1065521350356418561","1065521350356418561")</f>
        <v>1065521350356418561</v>
      </c>
      <c r="F703" s="12"/>
      <c r="G703" s="12"/>
      <c r="H703" s="12"/>
      <c r="I703" s="13">
        <v>0</v>
      </c>
      <c r="J703" s="13">
        <v>0</v>
      </c>
      <c r="K703" s="14" t="str">
        <f>HYPERLINK("http://twitter.com/download/android","Twitter for Android")</f>
        <v>Twitter for Android</v>
      </c>
      <c r="L703" s="13">
        <v>984</v>
      </c>
      <c r="M703" s="13">
        <v>574</v>
      </c>
      <c r="N703" s="13">
        <v>23</v>
      </c>
      <c r="O703" s="15"/>
      <c r="P703" s="6">
        <v>40424.416203703702</v>
      </c>
      <c r="Q703" s="17" t="s">
        <v>2622</v>
      </c>
      <c r="R703" s="16" t="s">
        <v>2623</v>
      </c>
      <c r="S703" s="11" t="s">
        <v>2624</v>
      </c>
      <c r="T703" s="12"/>
      <c r="U703" s="10" t="str">
        <f>HYPERLINK("https://pbs.twimg.com/profile_images/998946752802648064/Wfl95qW2.jpg","View")</f>
        <v>View</v>
      </c>
    </row>
    <row r="704" spans="1:21" ht="40.799999999999997">
      <c r="A704" s="6">
        <v>43426.016782407409</v>
      </c>
      <c r="B704" s="7" t="str">
        <f>HYPERLINK("https://twitter.com/AlbGarD","@AlbGarD")</f>
        <v>@AlbGarD</v>
      </c>
      <c r="C704" s="8" t="s">
        <v>2625</v>
      </c>
      <c r="D704" s="9" t="s">
        <v>2626</v>
      </c>
      <c r="E704" s="10" t="str">
        <f>HYPERLINK("https://twitter.com/AlbGarD/status/1065521305980755968","1065521305980755968")</f>
        <v>1065521305980755968</v>
      </c>
      <c r="F704" s="12"/>
      <c r="G704" s="12"/>
      <c r="H704" s="12"/>
      <c r="I704" s="13">
        <v>0</v>
      </c>
      <c r="J704" s="13">
        <v>1</v>
      </c>
      <c r="K704" s="14" t="str">
        <f>HYPERLINK("http://twitter.com/#!/download/ipad","Twitter for iPad")</f>
        <v>Twitter for iPad</v>
      </c>
      <c r="L704" s="13">
        <v>1232</v>
      </c>
      <c r="M704" s="13">
        <v>577</v>
      </c>
      <c r="N704" s="13">
        <v>33</v>
      </c>
      <c r="O704" s="15"/>
      <c r="P704" s="6">
        <v>41170.171689814815</v>
      </c>
      <c r="Q704" s="17" t="s">
        <v>2627</v>
      </c>
      <c r="R704" s="16" t="s">
        <v>2628</v>
      </c>
      <c r="S704" s="11" t="s">
        <v>2629</v>
      </c>
      <c r="T704" s="12"/>
      <c r="U704" s="10" t="str">
        <f>HYPERLINK("https://pbs.twimg.com/profile_images/1065533073159331840/FIrqG-cA.jpg","View")</f>
        <v>View</v>
      </c>
    </row>
    <row r="705" spans="1:21" ht="13.2">
      <c r="A705" s="6">
        <v>43426.016782407409</v>
      </c>
      <c r="B705" s="7" t="str">
        <f>HYPERLINK("https://twitter.com/SilviaValero19","@SilviaValero19")</f>
        <v>@SilviaValero19</v>
      </c>
      <c r="C705" s="8" t="s">
        <v>2630</v>
      </c>
      <c r="D705" s="9" t="s">
        <v>2631</v>
      </c>
      <c r="E705" s="10" t="str">
        <f>HYPERLINK("https://twitter.com/SilviaValero19/status/1065521305666154496","1065521305666154496")</f>
        <v>1065521305666154496</v>
      </c>
      <c r="F705" s="12"/>
      <c r="G705" s="12"/>
      <c r="H705" s="12"/>
      <c r="I705" s="13">
        <v>0</v>
      </c>
      <c r="J705" s="13">
        <v>0</v>
      </c>
      <c r="K705" s="14" t="str">
        <f>HYPERLINK("http://twitter.com/download/android","Twitter for Android")</f>
        <v>Twitter for Android</v>
      </c>
      <c r="L705" s="13">
        <v>2</v>
      </c>
      <c r="M705" s="13">
        <v>18</v>
      </c>
      <c r="N705" s="13">
        <v>0</v>
      </c>
      <c r="O705" s="15"/>
      <c r="P705" s="6">
        <v>43340.182025462964</v>
      </c>
      <c r="Q705" s="12"/>
      <c r="R705" s="18"/>
      <c r="S705" s="12"/>
      <c r="T705" s="12"/>
      <c r="U705" s="10" t="str">
        <f>HYPERLINK("https://pbs.twimg.com/profile_images/1034842796908339200/DAH3u1sW.jpg","View")</f>
        <v>View</v>
      </c>
    </row>
    <row r="706" spans="1:21" ht="40.799999999999997">
      <c r="A706" s="6">
        <v>43426.016666666663</v>
      </c>
      <c r="B706" s="7" t="str">
        <f>HYPERLINK("https://twitter.com/Dominbenito","@Dominbenito")</f>
        <v>@Dominbenito</v>
      </c>
      <c r="C706" s="8" t="s">
        <v>2632</v>
      </c>
      <c r="D706" s="9" t="s">
        <v>2633</v>
      </c>
      <c r="E706" s="10" t="str">
        <f>HYPERLINK("https://twitter.com/Dominbenito/status/1065521262758424576","1065521262758424576")</f>
        <v>1065521262758424576</v>
      </c>
      <c r="F706" s="12"/>
      <c r="G706" s="12"/>
      <c r="H706" s="12"/>
      <c r="I706" s="13">
        <v>0</v>
      </c>
      <c r="J706" s="13">
        <v>0</v>
      </c>
      <c r="K706" s="14" t="str">
        <f>HYPERLINK("http://twitter.com/download/iphone","Twitter for iPhone")</f>
        <v>Twitter for iPhone</v>
      </c>
      <c r="L706" s="13">
        <v>1669</v>
      </c>
      <c r="M706" s="13">
        <v>2025</v>
      </c>
      <c r="N706" s="13">
        <v>42</v>
      </c>
      <c r="O706" s="15"/>
      <c r="P706" s="6">
        <v>39938.390208333338</v>
      </c>
      <c r="Q706" s="12"/>
      <c r="R706" s="16" t="s">
        <v>2634</v>
      </c>
      <c r="S706" s="11" t="s">
        <v>2635</v>
      </c>
      <c r="T706" s="12"/>
      <c r="U706" s="10" t="str">
        <f>HYPERLINK("https://pbs.twimg.com/profile_images/423175809017212928/sAEBVJ9H.jpeg","View")</f>
        <v>View</v>
      </c>
    </row>
    <row r="707" spans="1:21" ht="40.799999999999997">
      <c r="A707" s="6">
        <v>43426.016516203701</v>
      </c>
      <c r="B707" s="7" t="str">
        <f>HYPERLINK("https://twitter.com/ElTabernero","@ElTabernero")</f>
        <v>@ElTabernero</v>
      </c>
      <c r="C707" s="8" t="s">
        <v>2636</v>
      </c>
      <c r="D707" s="9" t="s">
        <v>2637</v>
      </c>
      <c r="E707" s="10" t="str">
        <f>HYPERLINK("https://twitter.com/ElTabernero/status/1065521208161120256","1065521208161120256")</f>
        <v>1065521208161120256</v>
      </c>
      <c r="F707" s="12"/>
      <c r="G707" s="12"/>
      <c r="H707" s="12"/>
      <c r="I707" s="13">
        <v>0</v>
      </c>
      <c r="J707" s="13">
        <v>0</v>
      </c>
      <c r="K707" s="14" t="str">
        <f>HYPERLINK("http://twitter.com","Twitter Web Client")</f>
        <v>Twitter Web Client</v>
      </c>
      <c r="L707" s="13">
        <v>659</v>
      </c>
      <c r="M707" s="13">
        <v>197</v>
      </c>
      <c r="N707" s="13">
        <v>37</v>
      </c>
      <c r="O707" s="15"/>
      <c r="P707" s="6">
        <v>39875.531770833331</v>
      </c>
      <c r="Q707" s="17" t="s">
        <v>2638</v>
      </c>
      <c r="R707" s="16" t="s">
        <v>2639</v>
      </c>
      <c r="S707" s="11" t="s">
        <v>2640</v>
      </c>
      <c r="T707" s="12"/>
      <c r="U707" s="10" t="str">
        <f>HYPERLINK("https://pbs.twimg.com/profile_images/440128193337372673/P7UZDFuA.jpeg","View")</f>
        <v>View</v>
      </c>
    </row>
    <row r="708" spans="1:21" ht="40.799999999999997">
      <c r="A708" s="6">
        <v>43426.016331018516</v>
      </c>
      <c r="B708" s="7" t="str">
        <f>HYPERLINK("https://twitter.com/msanfe","@msanfe")</f>
        <v>@msanfe</v>
      </c>
      <c r="C708" s="8" t="s">
        <v>2641</v>
      </c>
      <c r="D708" s="9" t="s">
        <v>2642</v>
      </c>
      <c r="E708" s="10" t="str">
        <f>HYPERLINK("https://twitter.com/msanfe/status/1065521142302162944","1065521142302162944")</f>
        <v>1065521142302162944</v>
      </c>
      <c r="F708" s="12"/>
      <c r="G708" s="12"/>
      <c r="H708" s="12"/>
      <c r="I708" s="13">
        <v>0</v>
      </c>
      <c r="J708" s="13">
        <v>0</v>
      </c>
      <c r="K708" s="14" t="str">
        <f>HYPERLINK("http://twitter.com/download/iphone","Twitter for iPhone")</f>
        <v>Twitter for iPhone</v>
      </c>
      <c r="L708" s="13">
        <v>613</v>
      </c>
      <c r="M708" s="13">
        <v>1151</v>
      </c>
      <c r="N708" s="13">
        <v>41</v>
      </c>
      <c r="O708" s="15"/>
      <c r="P708" s="6">
        <v>39988.434965277775</v>
      </c>
      <c r="Q708" s="17" t="s">
        <v>2643</v>
      </c>
      <c r="R708" s="16" t="s">
        <v>2644</v>
      </c>
      <c r="S708" s="11" t="s">
        <v>2645</v>
      </c>
      <c r="T708" s="12"/>
      <c r="U708" s="10" t="str">
        <f>HYPERLINK("https://pbs.twimg.com/profile_images/1034564146921123841/LU3jqMoX.jpg","View")</f>
        <v>View</v>
      </c>
    </row>
    <row r="709" spans="1:21" ht="40.799999999999997">
      <c r="A709" s="6">
        <v>43426.015960648147</v>
      </c>
      <c r="B709" s="7" t="str">
        <f>HYPERLINK("https://twitter.com/antmartinb","@antmartinb")</f>
        <v>@antmartinb</v>
      </c>
      <c r="C709" s="8" t="s">
        <v>2646</v>
      </c>
      <c r="D709" s="9" t="s">
        <v>2647</v>
      </c>
      <c r="E709" s="10" t="str">
        <f>HYPERLINK("https://twitter.com/antmartinb/status/1065521008537407488","1065521008537407488")</f>
        <v>1065521008537407488</v>
      </c>
      <c r="F709" s="12"/>
      <c r="G709" s="12"/>
      <c r="H709" s="12"/>
      <c r="I709" s="13">
        <v>1</v>
      </c>
      <c r="J709" s="13">
        <v>11</v>
      </c>
      <c r="K709" s="14" t="str">
        <f>HYPERLINK("http://twitter.com","Twitter Web Client")</f>
        <v>Twitter Web Client</v>
      </c>
      <c r="L709" s="13">
        <v>1121</v>
      </c>
      <c r="M709" s="13">
        <v>600</v>
      </c>
      <c r="N709" s="13">
        <v>25</v>
      </c>
      <c r="O709" s="15"/>
      <c r="P709" s="6">
        <v>40883.167650462965</v>
      </c>
      <c r="Q709" s="17" t="s">
        <v>2648</v>
      </c>
      <c r="R709" s="16" t="s">
        <v>2649</v>
      </c>
      <c r="S709" s="12"/>
      <c r="T709" s="12"/>
      <c r="U709" s="10" t="str">
        <f>HYPERLINK("https://pbs.twimg.com/profile_images/889259072721223682/pBhXYEIH.jpg","View")</f>
        <v>View</v>
      </c>
    </row>
    <row r="710" spans="1:21" ht="30.6">
      <c r="A710" s="6">
        <v>43426.015868055554</v>
      </c>
      <c r="B710" s="7" t="str">
        <f>HYPERLINK("https://twitter.com/rakelilla79","@rakelilla79")</f>
        <v>@rakelilla79</v>
      </c>
      <c r="C710" s="8" t="s">
        <v>2650</v>
      </c>
      <c r="D710" s="9" t="s">
        <v>2651</v>
      </c>
      <c r="E710" s="10" t="str">
        <f>HYPERLINK("https://twitter.com/rakelilla79/status/1065520973737336832","1065520973737336832")</f>
        <v>1065520973737336832</v>
      </c>
      <c r="F710" s="12"/>
      <c r="G710" s="12"/>
      <c r="H710" s="12"/>
      <c r="I710" s="13">
        <v>0</v>
      </c>
      <c r="J710" s="13">
        <v>0</v>
      </c>
      <c r="K710" s="14" t="str">
        <f t="shared" ref="K710:K711" si="138">HYPERLINK("http://twitter.com/download/iphone","Twitter for iPhone")</f>
        <v>Twitter for iPhone</v>
      </c>
      <c r="L710" s="13">
        <v>2037</v>
      </c>
      <c r="M710" s="13">
        <v>990</v>
      </c>
      <c r="N710" s="13">
        <v>56</v>
      </c>
      <c r="O710" s="15"/>
      <c r="P710" s="6">
        <v>40386.631724537037</v>
      </c>
      <c r="Q710" s="17" t="s">
        <v>2652</v>
      </c>
      <c r="R710" s="16" t="s">
        <v>2653</v>
      </c>
      <c r="S710" s="12"/>
      <c r="T710" s="12"/>
      <c r="U710" s="10" t="str">
        <f>HYPERLINK("https://pbs.twimg.com/profile_images/955026260014583808/h8xD2Rrj.jpg","View")</f>
        <v>View</v>
      </c>
    </row>
    <row r="711" spans="1:21" ht="20.399999999999999">
      <c r="A711" s="6">
        <v>43426.015509259261</v>
      </c>
      <c r="B711" s="7" t="str">
        <f>HYPERLINK("https://twitter.com/_SandraSM_","@_SandraSM_")</f>
        <v>@_SandraSM_</v>
      </c>
      <c r="C711" s="8" t="s">
        <v>2654</v>
      </c>
      <c r="D711" s="9" t="s">
        <v>2655</v>
      </c>
      <c r="E711" s="10" t="str">
        <f>HYPERLINK("https://twitter.com/_SandraSM_/status/1065520843357335552","1065520843357335552")</f>
        <v>1065520843357335552</v>
      </c>
      <c r="F711" s="12"/>
      <c r="G711" s="12"/>
      <c r="H711" s="12"/>
      <c r="I711" s="13">
        <v>1</v>
      </c>
      <c r="J711" s="13">
        <v>1</v>
      </c>
      <c r="K711" s="14" t="str">
        <f t="shared" si="138"/>
        <v>Twitter for iPhone</v>
      </c>
      <c r="L711" s="13">
        <v>1140</v>
      </c>
      <c r="M711" s="13">
        <v>830</v>
      </c>
      <c r="N711" s="13">
        <v>81</v>
      </c>
      <c r="O711" s="15"/>
      <c r="P711" s="6">
        <v>40399.482604166667</v>
      </c>
      <c r="Q711" s="17" t="s">
        <v>76</v>
      </c>
      <c r="R711" s="16" t="s">
        <v>2656</v>
      </c>
      <c r="S711" s="11" t="s">
        <v>2657</v>
      </c>
      <c r="T711" s="12"/>
      <c r="U711" s="10" t="str">
        <f>HYPERLINK("https://pbs.twimg.com/profile_images/1016988527362535424/fhd0a29v.jpg","View")</f>
        <v>View</v>
      </c>
    </row>
    <row r="712" spans="1:21" ht="40.799999999999997">
      <c r="A712" s="6">
        <v>43426.015439814815</v>
      </c>
      <c r="B712" s="7" t="str">
        <f>HYPERLINK("https://twitter.com/buttercri","@buttercri")</f>
        <v>@buttercri</v>
      </c>
      <c r="C712" s="8" t="s">
        <v>2658</v>
      </c>
      <c r="D712" s="9" t="s">
        <v>2659</v>
      </c>
      <c r="E712" s="10" t="str">
        <f>HYPERLINK("https://twitter.com/buttercri/status/1065520817902100482","1065520817902100482")</f>
        <v>1065520817902100482</v>
      </c>
      <c r="F712" s="12"/>
      <c r="G712" s="12"/>
      <c r="H712" s="12"/>
      <c r="I712" s="13">
        <v>184</v>
      </c>
      <c r="J712" s="13">
        <v>656</v>
      </c>
      <c r="K712" s="14" t="str">
        <f>HYPERLINK("http://twitter.com","Twitter Web Client")</f>
        <v>Twitter Web Client</v>
      </c>
      <c r="L712" s="13">
        <v>30229</v>
      </c>
      <c r="M712" s="13">
        <v>454</v>
      </c>
      <c r="N712" s="13">
        <v>469</v>
      </c>
      <c r="O712" s="15"/>
      <c r="P712" s="6">
        <v>40575.309675925928</v>
      </c>
      <c r="Q712" s="17" t="s">
        <v>2660</v>
      </c>
      <c r="R712" s="16" t="s">
        <v>2661</v>
      </c>
      <c r="S712" s="11" t="s">
        <v>2662</v>
      </c>
      <c r="T712" s="12"/>
      <c r="U712" s="10" t="str">
        <f>HYPERLINK("https://pbs.twimg.com/profile_images/787091349292085248/S2OrQHaa.jpg","View")</f>
        <v>View</v>
      </c>
    </row>
    <row r="713" spans="1:21" ht="30.6">
      <c r="A713" s="6">
        <v>43426.014930555553</v>
      </c>
      <c r="B713" s="7" t="str">
        <f>HYPERLINK("https://twitter.com/fromtheTartarus","@fromtheTartarus")</f>
        <v>@fromtheTartarus</v>
      </c>
      <c r="C713" s="8" t="s">
        <v>2073</v>
      </c>
      <c r="D713" s="9" t="s">
        <v>2663</v>
      </c>
      <c r="E713" s="10" t="str">
        <f>HYPERLINK("https://twitter.com/fromtheTartarus/status/1065520636397801472","1065520636397801472")</f>
        <v>1065520636397801472</v>
      </c>
      <c r="F713" s="12"/>
      <c r="G713" s="12"/>
      <c r="H713" s="12"/>
      <c r="I713" s="13">
        <v>0</v>
      </c>
      <c r="J713" s="13">
        <v>0</v>
      </c>
      <c r="K713" s="14" t="str">
        <f>HYPERLINK("http://twitter.com/download/android","Twitter for Android")</f>
        <v>Twitter for Android</v>
      </c>
      <c r="L713" s="13">
        <v>1317</v>
      </c>
      <c r="M713" s="13">
        <v>1331</v>
      </c>
      <c r="N713" s="13">
        <v>0</v>
      </c>
      <c r="O713" s="15"/>
      <c r="P713" s="6">
        <v>41490.311990740738</v>
      </c>
      <c r="Q713" s="12"/>
      <c r="R713" s="16" t="s">
        <v>2075</v>
      </c>
      <c r="S713" s="12"/>
      <c r="T713" s="12"/>
      <c r="U713" s="10" t="str">
        <f>HYPERLINK("https://pbs.twimg.com/profile_images/1053912689972523008/kZhxHvEO.jpg","View")</f>
        <v>View</v>
      </c>
    </row>
    <row r="714" spans="1:21" ht="30.6">
      <c r="A714" s="6">
        <v>43426.014074074075</v>
      </c>
      <c r="B714" s="7" t="str">
        <f>HYPERLINK("https://twitter.com/HoyPorHoy","@HoyPorHoy")</f>
        <v>@HoyPorHoy</v>
      </c>
      <c r="C714" s="8" t="s">
        <v>2289</v>
      </c>
      <c r="D714" s="9" t="s">
        <v>2664</v>
      </c>
      <c r="E714" s="10" t="str">
        <f>HYPERLINK("https://twitter.com/HoyPorHoy/status/1065520325360672771","1065520325360672771")</f>
        <v>1065520325360672771</v>
      </c>
      <c r="F714" s="11" t="s">
        <v>2208</v>
      </c>
      <c r="G714" s="11" t="s">
        <v>2213</v>
      </c>
      <c r="H714" s="12"/>
      <c r="I714" s="13">
        <v>2</v>
      </c>
      <c r="J714" s="13">
        <v>1</v>
      </c>
      <c r="K714" s="14" t="str">
        <f>HYPERLINK("http://snappytv.com","SnappyTV.com")</f>
        <v>SnappyTV.com</v>
      </c>
      <c r="L714" s="13">
        <v>151238</v>
      </c>
      <c r="M714" s="13">
        <v>547</v>
      </c>
      <c r="N714" s="13">
        <v>1950</v>
      </c>
      <c r="O714" s="19" t="s">
        <v>74</v>
      </c>
      <c r="P714" s="6">
        <v>40524.4375</v>
      </c>
      <c r="Q714" s="17" t="s">
        <v>2170</v>
      </c>
      <c r="R714" s="16" t="s">
        <v>2290</v>
      </c>
      <c r="S714" s="11" t="s">
        <v>2291</v>
      </c>
      <c r="T714" s="12"/>
      <c r="U714" s="10" t="str">
        <f>HYPERLINK("https://pbs.twimg.com/profile_images/1048055720007163905/tEd_7iXy.jpg","View")</f>
        <v>View</v>
      </c>
    </row>
    <row r="715" spans="1:21" ht="30.6">
      <c r="A715" s="6">
        <v>43426.013912037037</v>
      </c>
      <c r="B715" s="7" t="str">
        <f>HYPERLINK("https://twitter.com/gomeziniesta","@gomeziniesta")</f>
        <v>@gomeziniesta</v>
      </c>
      <c r="C715" s="8" t="s">
        <v>2665</v>
      </c>
      <c r="D715" s="9" t="s">
        <v>2666</v>
      </c>
      <c r="E715" s="10" t="str">
        <f>HYPERLINK("https://twitter.com/gomeziniesta/status/1065520266879610880","1065520266879610880")</f>
        <v>1065520266879610880</v>
      </c>
      <c r="F715" s="12"/>
      <c r="G715" s="12"/>
      <c r="H715" s="12"/>
      <c r="I715" s="13">
        <v>0</v>
      </c>
      <c r="J715" s="13">
        <v>0</v>
      </c>
      <c r="K715" s="14" t="str">
        <f>HYPERLINK("http://twitter.com/download/iphone","Twitter for iPhone")</f>
        <v>Twitter for iPhone</v>
      </c>
      <c r="L715" s="13">
        <v>147</v>
      </c>
      <c r="M715" s="13">
        <v>250</v>
      </c>
      <c r="N715" s="13">
        <v>6</v>
      </c>
      <c r="O715" s="15"/>
      <c r="P715" s="6">
        <v>40601.528240740743</v>
      </c>
      <c r="Q715" s="12"/>
      <c r="R715" s="16" t="s">
        <v>2667</v>
      </c>
      <c r="S715" s="12"/>
      <c r="T715" s="12"/>
      <c r="U715" s="10" t="str">
        <f>HYPERLINK("https://pbs.twimg.com/profile_images/518055593232187392/ZpnF2HFm.jpeg","View")</f>
        <v>View</v>
      </c>
    </row>
    <row r="716" spans="1:21" ht="91.8">
      <c r="A716" s="6">
        <v>43426.013831018514</v>
      </c>
      <c r="B716" s="7" t="str">
        <f>HYPERLINK("https://twitter.com/ABJ6691","@ABJ6691")</f>
        <v>@ABJ6691</v>
      </c>
      <c r="C716" s="8" t="s">
        <v>2241</v>
      </c>
      <c r="D716" s="9" t="s">
        <v>2669</v>
      </c>
      <c r="E716" s="10" t="str">
        <f>HYPERLINK("https://twitter.com/ABJ6691/status/1065520237452369921","1065520237452369921")</f>
        <v>1065520237452369921</v>
      </c>
      <c r="F716" s="11" t="s">
        <v>2670</v>
      </c>
      <c r="G716" s="12"/>
      <c r="H716" s="12"/>
      <c r="I716" s="13">
        <v>0</v>
      </c>
      <c r="J716" s="13">
        <v>0</v>
      </c>
      <c r="K716" s="14" t="str">
        <f>HYPERLINK("http://twitter.com","Twitter Web Client")</f>
        <v>Twitter Web Client</v>
      </c>
      <c r="L716" s="13">
        <v>1187</v>
      </c>
      <c r="M716" s="13">
        <v>1032</v>
      </c>
      <c r="N716" s="13">
        <v>13</v>
      </c>
      <c r="O716" s="15"/>
      <c r="P716" s="6">
        <v>41788.177662037036</v>
      </c>
      <c r="Q716" s="12"/>
      <c r="R716" s="16" t="s">
        <v>2243</v>
      </c>
      <c r="S716" s="12"/>
      <c r="T716" s="12"/>
      <c r="U716" s="10" t="str">
        <f>HYPERLINK("https://pbs.twimg.com/profile_images/998485520349970432/4qWdVkQL.jpg","View")</f>
        <v>View</v>
      </c>
    </row>
    <row r="717" spans="1:21" ht="40.799999999999997">
      <c r="A717" s="6">
        <v>43426.01362268519</v>
      </c>
      <c r="B717" s="7" t="str">
        <f>HYPERLINK("https://twitter.com/msanfe","@msanfe")</f>
        <v>@msanfe</v>
      </c>
      <c r="C717" s="8" t="s">
        <v>2641</v>
      </c>
      <c r="D717" s="9" t="s">
        <v>2671</v>
      </c>
      <c r="E717" s="10" t="str">
        <f>HYPERLINK("https://twitter.com/msanfe/status/1065520162743431168","1065520162743431168")</f>
        <v>1065520162743431168</v>
      </c>
      <c r="F717" s="12"/>
      <c r="G717" s="12"/>
      <c r="H717" s="12"/>
      <c r="I717" s="13">
        <v>0</v>
      </c>
      <c r="J717" s="13">
        <v>0</v>
      </c>
      <c r="K717" s="14" t="str">
        <f>HYPERLINK("http://twitter.com/download/iphone","Twitter for iPhone")</f>
        <v>Twitter for iPhone</v>
      </c>
      <c r="L717" s="13">
        <v>613</v>
      </c>
      <c r="M717" s="13">
        <v>1151</v>
      </c>
      <c r="N717" s="13">
        <v>41</v>
      </c>
      <c r="O717" s="15"/>
      <c r="P717" s="6">
        <v>39988.434965277775</v>
      </c>
      <c r="Q717" s="17" t="s">
        <v>2643</v>
      </c>
      <c r="R717" s="16" t="s">
        <v>2644</v>
      </c>
      <c r="S717" s="11" t="s">
        <v>2645</v>
      </c>
      <c r="T717" s="12"/>
      <c r="U717" s="10" t="str">
        <f>HYPERLINK("https://pbs.twimg.com/profile_images/1034564146921123841/LU3jqMoX.jpg","View")</f>
        <v>View</v>
      </c>
    </row>
    <row r="718" spans="1:21" ht="40.799999999999997">
      <c r="A718" s="6">
        <v>43426.011759259258</v>
      </c>
      <c r="B718" s="7" t="str">
        <f>HYPERLINK("https://twitter.com/olgaymasna","@olgaymasna")</f>
        <v>@olgaymasna</v>
      </c>
      <c r="C718" s="8" t="s">
        <v>2672</v>
      </c>
      <c r="D718" s="9" t="s">
        <v>2673</v>
      </c>
      <c r="E718" s="10" t="str">
        <f>HYPERLINK("https://twitter.com/olgaymasna/status/1065519484260233216","1065519484260233216")</f>
        <v>1065519484260233216</v>
      </c>
      <c r="F718" s="12"/>
      <c r="G718" s="12"/>
      <c r="H718" s="12"/>
      <c r="I718" s="13">
        <v>0</v>
      </c>
      <c r="J718" s="13">
        <v>0</v>
      </c>
      <c r="K718" s="14" t="str">
        <f>HYPERLINK("http://twitter.com/download/android","Twitter for Android")</f>
        <v>Twitter for Android</v>
      </c>
      <c r="L718" s="13">
        <v>35</v>
      </c>
      <c r="M718" s="13">
        <v>495</v>
      </c>
      <c r="N718" s="13">
        <v>2</v>
      </c>
      <c r="O718" s="15"/>
      <c r="P718" s="6">
        <v>40912.270891203705</v>
      </c>
      <c r="Q718" s="12"/>
      <c r="R718" s="16" t="s">
        <v>2674</v>
      </c>
      <c r="S718" s="12"/>
      <c r="T718" s="12"/>
      <c r="U718" s="10" t="str">
        <f>HYPERLINK("https://pbs.twimg.com/profile_images/858701549274632195/s1kFM8ql.jpg","View")</f>
        <v>View</v>
      </c>
    </row>
    <row r="719" spans="1:21" ht="20.399999999999999">
      <c r="A719" s="6">
        <v>43426.011481481481</v>
      </c>
      <c r="B719" s="7" t="str">
        <f>HYPERLINK("https://twitter.com/eivars","@eivars")</f>
        <v>@eivars</v>
      </c>
      <c r="C719" s="8" t="s">
        <v>2675</v>
      </c>
      <c r="D719" s="9" t="s">
        <v>2676</v>
      </c>
      <c r="E719" s="10" t="str">
        <f>HYPERLINK("https://twitter.com/eivars/status/1065519384964276224","1065519384964276224")</f>
        <v>1065519384964276224</v>
      </c>
      <c r="F719" s="12"/>
      <c r="G719" s="12"/>
      <c r="H719" s="12"/>
      <c r="I719" s="13">
        <v>1</v>
      </c>
      <c r="J719" s="13">
        <v>3</v>
      </c>
      <c r="K719" s="14" t="str">
        <f>HYPERLINK("http://twitter.com/download/iphone","Twitter for iPhone")</f>
        <v>Twitter for iPhone</v>
      </c>
      <c r="L719" s="13">
        <v>2257</v>
      </c>
      <c r="M719" s="13">
        <v>1545</v>
      </c>
      <c r="N719" s="13">
        <v>58</v>
      </c>
      <c r="O719" s="15"/>
      <c r="P719" s="6">
        <v>39946.020729166667</v>
      </c>
      <c r="Q719" s="17" t="s">
        <v>1018</v>
      </c>
      <c r="R719" s="16" t="s">
        <v>2677</v>
      </c>
      <c r="S719" s="11" t="s">
        <v>2678</v>
      </c>
      <c r="T719" s="12"/>
      <c r="U719" s="10" t="str">
        <f>HYPERLINK("https://pbs.twimg.com/profile_images/860435493963653121/Mcno4B9X.jpg","View")</f>
        <v>View</v>
      </c>
    </row>
    <row r="720" spans="1:21" ht="40.799999999999997">
      <c r="A720" s="6">
        <v>43426.010648148149</v>
      </c>
      <c r="B720" s="7" t="str">
        <f>HYPERLINK("https://twitter.com/AntonioAndol","@AntonioAndol")</f>
        <v>@AntonioAndol</v>
      </c>
      <c r="C720" s="8" t="s">
        <v>2679</v>
      </c>
      <c r="D720" s="9" t="s">
        <v>2680</v>
      </c>
      <c r="E720" s="10" t="str">
        <f>HYPERLINK("https://twitter.com/AntonioAndol/status/1065519084173963264","1065519084173963264")</f>
        <v>1065519084173963264</v>
      </c>
      <c r="F720" s="12"/>
      <c r="G720" s="12"/>
      <c r="H720" s="12"/>
      <c r="I720" s="13">
        <v>0</v>
      </c>
      <c r="J720" s="13">
        <v>0</v>
      </c>
      <c r="K720" s="14" t="str">
        <f>HYPERLINK("http://twitter.com/download/android","Twitter for Android")</f>
        <v>Twitter for Android</v>
      </c>
      <c r="L720" s="13">
        <v>2711</v>
      </c>
      <c r="M720" s="13">
        <v>330</v>
      </c>
      <c r="N720" s="13">
        <v>4</v>
      </c>
      <c r="O720" s="15"/>
      <c r="P720" s="6">
        <v>42774.154641203699</v>
      </c>
      <c r="Q720" s="17" t="s">
        <v>2681</v>
      </c>
      <c r="R720" s="16" t="s">
        <v>2682</v>
      </c>
      <c r="S720" s="12"/>
      <c r="T720" s="12"/>
      <c r="U720" s="10" t="str">
        <f>HYPERLINK("https://pbs.twimg.com/profile_images/1010601842940760065/t5TnWt23.jpg","View")</f>
        <v>View</v>
      </c>
    </row>
    <row r="721" spans="1:21" ht="51">
      <c r="A721" s="6">
        <v>43426.009641203702</v>
      </c>
      <c r="B721" s="7" t="str">
        <f>HYPERLINK("https://twitter.com/HoyPorHoy","@HoyPorHoy")</f>
        <v>@HoyPorHoy</v>
      </c>
      <c r="C721" s="8" t="s">
        <v>2289</v>
      </c>
      <c r="D721" s="9" t="s">
        <v>2683</v>
      </c>
      <c r="E721" s="10" t="str">
        <f>HYPERLINK("https://twitter.com/HoyPorHoy/status/1065518716572450816","1065518716572450816")</f>
        <v>1065518716572450816</v>
      </c>
      <c r="F721" s="11" t="s">
        <v>2208</v>
      </c>
      <c r="G721" s="11" t="s">
        <v>2155</v>
      </c>
      <c r="H721" s="12"/>
      <c r="I721" s="13">
        <v>6</v>
      </c>
      <c r="J721" s="13">
        <v>4</v>
      </c>
      <c r="K721" s="14" t="str">
        <f>HYPERLINK("http://snappytv.com","SnappyTV.com")</f>
        <v>SnappyTV.com</v>
      </c>
      <c r="L721" s="13">
        <v>151238</v>
      </c>
      <c r="M721" s="13">
        <v>547</v>
      </c>
      <c r="N721" s="13">
        <v>1950</v>
      </c>
      <c r="O721" s="19" t="s">
        <v>74</v>
      </c>
      <c r="P721" s="6">
        <v>40524.4375</v>
      </c>
      <c r="Q721" s="17" t="s">
        <v>2170</v>
      </c>
      <c r="R721" s="16" t="s">
        <v>2290</v>
      </c>
      <c r="S721" s="11" t="s">
        <v>2291</v>
      </c>
      <c r="T721" s="12"/>
      <c r="U721" s="10" t="str">
        <f>HYPERLINK("https://pbs.twimg.com/profile_images/1048055720007163905/tEd_7iXy.jpg","View")</f>
        <v>View</v>
      </c>
    </row>
    <row r="722" spans="1:21" ht="40.799999999999997">
      <c r="A722" s="6">
        <v>43426.00917824074</v>
      </c>
      <c r="B722" s="7" t="str">
        <f>HYPERLINK("https://twitter.com/olgaymasna","@olgaymasna")</f>
        <v>@olgaymasna</v>
      </c>
      <c r="C722" s="8" t="s">
        <v>2672</v>
      </c>
      <c r="D722" s="9" t="s">
        <v>2684</v>
      </c>
      <c r="E722" s="10" t="str">
        <f>HYPERLINK("https://twitter.com/olgaymasna/status/1065518550172033024","1065518550172033024")</f>
        <v>1065518550172033024</v>
      </c>
      <c r="F722" s="12"/>
      <c r="G722" s="12"/>
      <c r="H722" s="12"/>
      <c r="I722" s="13">
        <v>0</v>
      </c>
      <c r="J722" s="13">
        <v>0</v>
      </c>
      <c r="K722" s="14" t="str">
        <f t="shared" ref="K722:K723" si="139">HYPERLINK("http://twitter.com/download/android","Twitter for Android")</f>
        <v>Twitter for Android</v>
      </c>
      <c r="L722" s="13">
        <v>35</v>
      </c>
      <c r="M722" s="13">
        <v>495</v>
      </c>
      <c r="N722" s="13">
        <v>2</v>
      </c>
      <c r="O722" s="15"/>
      <c r="P722" s="6">
        <v>40912.270891203705</v>
      </c>
      <c r="Q722" s="12"/>
      <c r="R722" s="16" t="s">
        <v>2674</v>
      </c>
      <c r="S722" s="12"/>
      <c r="T722" s="12"/>
      <c r="U722" s="10" t="str">
        <f>HYPERLINK("https://pbs.twimg.com/profile_images/858701549274632195/s1kFM8ql.jpg","View")</f>
        <v>View</v>
      </c>
    </row>
    <row r="723" spans="1:21" ht="20.399999999999999">
      <c r="A723" s="6">
        <v>43426.006724537037</v>
      </c>
      <c r="B723" s="7" t="str">
        <f>HYPERLINK("https://twitter.com/TheRealBonJavi","@TheRealBonJavi")</f>
        <v>@TheRealBonJavi</v>
      </c>
      <c r="C723" s="8" t="s">
        <v>2685</v>
      </c>
      <c r="D723" s="9" t="s">
        <v>2686</v>
      </c>
      <c r="E723" s="10" t="str">
        <f>HYPERLINK("https://twitter.com/TheRealBonJavi/status/1065517659591229445","1065517659591229445")</f>
        <v>1065517659591229445</v>
      </c>
      <c r="F723" s="12"/>
      <c r="G723" s="12"/>
      <c r="H723" s="12"/>
      <c r="I723" s="13">
        <v>0</v>
      </c>
      <c r="J723" s="13">
        <v>0</v>
      </c>
      <c r="K723" s="14" t="str">
        <f t="shared" si="139"/>
        <v>Twitter for Android</v>
      </c>
      <c r="L723" s="13">
        <v>368</v>
      </c>
      <c r="M723" s="13">
        <v>1121</v>
      </c>
      <c r="N723" s="13">
        <v>6</v>
      </c>
      <c r="O723" s="15"/>
      <c r="P723" s="6">
        <v>40963.210092592592</v>
      </c>
      <c r="Q723" s="17" t="s">
        <v>2687</v>
      </c>
      <c r="R723" s="16" t="s">
        <v>2688</v>
      </c>
      <c r="S723" s="11" t="s">
        <v>2689</v>
      </c>
      <c r="T723" s="12"/>
      <c r="U723" s="10" t="str">
        <f>HYPERLINK("https://pbs.twimg.com/profile_images/869221034926493696/JZqlx6ZX.jpg","View")</f>
        <v>View</v>
      </c>
    </row>
    <row r="724" spans="1:21" ht="30.6">
      <c r="A724" s="6">
        <v>43426.006550925929</v>
      </c>
      <c r="B724" s="7" t="str">
        <f>HYPERLINK("https://twitter.com/ElHuffPost","@ElHuffPost")</f>
        <v>@ElHuffPost</v>
      </c>
      <c r="C724" s="8" t="s">
        <v>467</v>
      </c>
      <c r="D724" s="9" t="s">
        <v>2690</v>
      </c>
      <c r="E724" s="10" t="str">
        <f>HYPERLINK("https://twitter.com/ElHuffPost/status/1065517597473554432","1065517597473554432")</f>
        <v>1065517597473554432</v>
      </c>
      <c r="F724" s="11" t="s">
        <v>2691</v>
      </c>
      <c r="G724" s="12"/>
      <c r="H724" s="12"/>
      <c r="I724" s="13">
        <v>0</v>
      </c>
      <c r="J724" s="13">
        <v>0</v>
      </c>
      <c r="K724" s="14" t="str">
        <f>HYPERLINK("http://twitter.com","Twitter Web Client")</f>
        <v>Twitter Web Client</v>
      </c>
      <c r="L724" s="13">
        <v>430323</v>
      </c>
      <c r="M724" s="13">
        <v>1532</v>
      </c>
      <c r="N724" s="13">
        <v>8186</v>
      </c>
      <c r="O724" s="19" t="s">
        <v>74</v>
      </c>
      <c r="P724" s="6">
        <v>40784.652118055557</v>
      </c>
      <c r="Q724" s="17" t="s">
        <v>203</v>
      </c>
      <c r="R724" s="16" t="s">
        <v>471</v>
      </c>
      <c r="S724" s="11" t="s">
        <v>472</v>
      </c>
      <c r="T724" s="12"/>
      <c r="U724" s="10" t="str">
        <f>HYPERLINK("https://pbs.twimg.com/profile_images/921140803422089217/ETOEUOAx.jpg","View")</f>
        <v>View</v>
      </c>
    </row>
    <row r="725" spans="1:21" ht="40.799999999999997">
      <c r="A725" s="6">
        <v>43426.006527777776</v>
      </c>
      <c r="B725" s="7" t="str">
        <f>HYPERLINK("https://twitter.com/libresysinred","@libresysinred")</f>
        <v>@libresysinred</v>
      </c>
      <c r="C725" s="8" t="s">
        <v>149</v>
      </c>
      <c r="D725" s="9" t="s">
        <v>2692</v>
      </c>
      <c r="E725" s="10" t="str">
        <f>HYPERLINK("https://twitter.com/libresysinred/status/1065517591874162688","1065517591874162688")</f>
        <v>1065517591874162688</v>
      </c>
      <c r="F725" s="12"/>
      <c r="G725" s="11" t="s">
        <v>2693</v>
      </c>
      <c r="H725" s="12"/>
      <c r="I725" s="13">
        <v>0</v>
      </c>
      <c r="J725" s="13">
        <v>0</v>
      </c>
      <c r="K725" s="14" t="str">
        <f>HYPERLINK("http://twitter.com/download/android","Twitter for Android")</f>
        <v>Twitter for Android</v>
      </c>
      <c r="L725" s="13">
        <v>310</v>
      </c>
      <c r="M725" s="13">
        <v>681</v>
      </c>
      <c r="N725" s="13">
        <v>9</v>
      </c>
      <c r="O725" s="15"/>
      <c r="P725" s="6">
        <v>39958.089085648149</v>
      </c>
      <c r="Q725" s="12"/>
      <c r="R725" s="16" t="s">
        <v>154</v>
      </c>
      <c r="S725" s="12"/>
      <c r="T725" s="12"/>
      <c r="U725" s="10" t="str">
        <f>HYPERLINK("https://pbs.twimg.com/profile_images/1058768598460698624/j7W4G4dg.jpg","View")</f>
        <v>View</v>
      </c>
    </row>
    <row r="726" spans="1:21" ht="30.6">
      <c r="A726" s="6">
        <v>43426.000844907408</v>
      </c>
      <c r="B726" s="7" t="str">
        <f>HYPERLINK("https://twitter.com/jordipsalvador","@jordipsalvador")</f>
        <v>@jordipsalvador</v>
      </c>
      <c r="C726" s="8" t="s">
        <v>2694</v>
      </c>
      <c r="D726" s="9" t="s">
        <v>2695</v>
      </c>
      <c r="E726" s="10" t="str">
        <f>HYPERLINK("https://twitter.com/jordipsalvador/status/1065515531531358213","1065515531531358213")</f>
        <v>1065515531531358213</v>
      </c>
      <c r="F726" s="11" t="s">
        <v>2696</v>
      </c>
      <c r="G726" s="12"/>
      <c r="H726" s="12"/>
      <c r="I726" s="13">
        <v>0</v>
      </c>
      <c r="J726" s="13">
        <v>0</v>
      </c>
      <c r="K726" s="14" t="str">
        <f t="shared" ref="K726:K727" si="140">HYPERLINK("https://ifttt.com","IFTTT")</f>
        <v>IFTTT</v>
      </c>
      <c r="L726" s="13">
        <v>1069</v>
      </c>
      <c r="M726" s="13">
        <v>2238</v>
      </c>
      <c r="N726" s="13">
        <v>79</v>
      </c>
      <c r="O726" s="15"/>
      <c r="P726" s="6">
        <v>40679.434872685189</v>
      </c>
      <c r="Q726" s="17" t="s">
        <v>1325</v>
      </c>
      <c r="R726" s="16" t="s">
        <v>2697</v>
      </c>
      <c r="S726" s="11" t="s">
        <v>2698</v>
      </c>
      <c r="T726" s="12"/>
      <c r="U726" s="10" t="str">
        <f>HYPERLINK("https://pbs.twimg.com/profile_images/1041429790044180480/E8YoBssK.jpg","View")</f>
        <v>View</v>
      </c>
    </row>
    <row r="727" spans="1:21" ht="51">
      <c r="A727" s="6">
        <v>43426.000486111108</v>
      </c>
      <c r="B727" s="7" t="str">
        <f>HYPERLINK("https://twitter.com/pasionxespana","@pasionxespana")</f>
        <v>@pasionxespana</v>
      </c>
      <c r="C727" s="8" t="s">
        <v>906</v>
      </c>
      <c r="D727" s="9" t="s">
        <v>2699</v>
      </c>
      <c r="E727" s="10" t="str">
        <f>HYPERLINK("https://twitter.com/pasionxespana/status/1065515400723607552","1065515400723607552")</f>
        <v>1065515400723607552</v>
      </c>
      <c r="F727" s="12"/>
      <c r="G727" s="11" t="s">
        <v>2700</v>
      </c>
      <c r="H727" s="12"/>
      <c r="I727" s="13">
        <v>0</v>
      </c>
      <c r="J727" s="13">
        <v>0</v>
      </c>
      <c r="K727" s="14" t="str">
        <f t="shared" si="140"/>
        <v>IFTTT</v>
      </c>
      <c r="L727" s="13">
        <v>1826</v>
      </c>
      <c r="M727" s="13">
        <v>3028</v>
      </c>
      <c r="N727" s="13">
        <v>40</v>
      </c>
      <c r="O727" s="15"/>
      <c r="P727" s="6">
        <v>42607.254606481481</v>
      </c>
      <c r="Q727" s="12"/>
      <c r="R727" s="16" t="s">
        <v>911</v>
      </c>
      <c r="S727" s="11" t="s">
        <v>912</v>
      </c>
      <c r="T727" s="12"/>
      <c r="U727" s="10" t="str">
        <f>HYPERLINK("https://pbs.twimg.com/profile_images/903227976258551808/C6YEfbP_.jpg","View")</f>
        <v>View</v>
      </c>
    </row>
    <row r="728" spans="1:21" ht="30.6">
      <c r="A728" s="6">
        <v>43426.000324074077</v>
      </c>
      <c r="B728" s="7" t="str">
        <f>HYPERLINK("https://twitter.com/Cambio16","@Cambio16")</f>
        <v>@Cambio16</v>
      </c>
      <c r="C728" s="8" t="s">
        <v>953</v>
      </c>
      <c r="D728" s="9" t="s">
        <v>2701</v>
      </c>
      <c r="E728" s="10" t="str">
        <f>HYPERLINK("https://twitter.com/Cambio16/status/1065515343668498432","1065515343668498432")</f>
        <v>1065515343668498432</v>
      </c>
      <c r="F728" s="11" t="s">
        <v>2702</v>
      </c>
      <c r="G728" s="11" t="s">
        <v>2703</v>
      </c>
      <c r="H728" s="12"/>
      <c r="I728" s="13">
        <v>0</v>
      </c>
      <c r="J728" s="13">
        <v>1</v>
      </c>
      <c r="K728" s="14" t="str">
        <f>HYPERLINK("https://www.hootsuite.com","Hootsuite Inc.")</f>
        <v>Hootsuite Inc.</v>
      </c>
      <c r="L728" s="13">
        <v>17345</v>
      </c>
      <c r="M728" s="13">
        <v>765</v>
      </c>
      <c r="N728" s="13">
        <v>499</v>
      </c>
      <c r="O728" s="15"/>
      <c r="P728" s="6">
        <v>40341.117245370369</v>
      </c>
      <c r="Q728" s="17" t="s">
        <v>143</v>
      </c>
      <c r="R728" s="16" t="s">
        <v>958</v>
      </c>
      <c r="S728" s="11" t="s">
        <v>959</v>
      </c>
      <c r="T728" s="12"/>
      <c r="U728" s="10" t="str">
        <f>HYPERLINK("https://pbs.twimg.com/profile_images/1060221846208069632/vJfJ3_T5.jpg","View")</f>
        <v>View</v>
      </c>
    </row>
    <row r="729" spans="1:21" ht="30.6">
      <c r="A729" s="6">
        <v>43425.997928240744</v>
      </c>
      <c r="B729" s="7" t="str">
        <f>HYPERLINK("https://twitter.com/MGHierroandrade","@MGHierroandrade")</f>
        <v>@MGHierroandrade</v>
      </c>
      <c r="C729" s="8" t="s">
        <v>2704</v>
      </c>
      <c r="D729" s="9" t="s">
        <v>2705</v>
      </c>
      <c r="E729" s="10" t="str">
        <f>HYPERLINK("https://twitter.com/MGHierroandrade/status/1065514474050850818","1065514474050850818")</f>
        <v>1065514474050850818</v>
      </c>
      <c r="F729" s="11" t="s">
        <v>1169</v>
      </c>
      <c r="G729" s="12"/>
      <c r="H729" s="12"/>
      <c r="I729" s="13">
        <v>0</v>
      </c>
      <c r="J729" s="13">
        <v>0</v>
      </c>
      <c r="K729" s="14" t="str">
        <f>HYPERLINK("http://twitter.com/download/android","Twitter for Android")</f>
        <v>Twitter for Android</v>
      </c>
      <c r="L729" s="13">
        <v>151</v>
      </c>
      <c r="M729" s="13">
        <v>558</v>
      </c>
      <c r="N729" s="13">
        <v>2</v>
      </c>
      <c r="O729" s="15"/>
      <c r="P729" s="6">
        <v>43270.494432870371</v>
      </c>
      <c r="Q729" s="17" t="s">
        <v>2706</v>
      </c>
      <c r="R729" s="16" t="s">
        <v>2707</v>
      </c>
      <c r="S729" s="12"/>
      <c r="T729" s="12"/>
      <c r="U729" s="10" t="str">
        <f>HYPERLINK("https://pbs.twimg.com/profile_images/1009211148804214784/pSoq9mzb.jpg","View")</f>
        <v>View</v>
      </c>
    </row>
    <row r="730" spans="1:21" ht="13.2">
      <c r="A730" s="6">
        <v>43425.997673611113</v>
      </c>
      <c r="B730" s="7" t="str">
        <f>HYPERLINK("https://twitter.com/Integridad2","@Integridad2")</f>
        <v>@Integridad2</v>
      </c>
      <c r="C730" s="8" t="s">
        <v>2708</v>
      </c>
      <c r="D730" s="9" t="s">
        <v>2070</v>
      </c>
      <c r="E730" s="10" t="str">
        <f>HYPERLINK("https://twitter.com/Integridad2/status/1065514379913961472","1065514379913961472")</f>
        <v>1065514379913961472</v>
      </c>
      <c r="F730" s="11" t="s">
        <v>2709</v>
      </c>
      <c r="G730" s="12"/>
      <c r="H730" s="12"/>
      <c r="I730" s="13">
        <v>0</v>
      </c>
      <c r="J730" s="13">
        <v>0</v>
      </c>
      <c r="K730" s="14" t="str">
        <f t="shared" ref="K730:K731" si="141">HYPERLINK("http://twitter.com","Twitter Web Client")</f>
        <v>Twitter Web Client</v>
      </c>
      <c r="L730" s="13">
        <v>1047</v>
      </c>
      <c r="M730" s="13">
        <v>1453</v>
      </c>
      <c r="N730" s="13">
        <v>80</v>
      </c>
      <c r="O730" s="15"/>
      <c r="P730" s="6">
        <v>41437.998148148152</v>
      </c>
      <c r="Q730" s="12"/>
      <c r="R730" s="18"/>
      <c r="S730" s="12"/>
      <c r="T730" s="12"/>
      <c r="U730" s="10" t="str">
        <f>HYPERLINK("https://pbs.twimg.com/profile_images/480748180632764416/q658HQwu.jpeg","View")</f>
        <v>View</v>
      </c>
    </row>
    <row r="731" spans="1:21" ht="30.6">
      <c r="A731" s="6">
        <v>43425.990370370375</v>
      </c>
      <c r="B731" s="7" t="str">
        <f>HYPERLINK("https://twitter.com/AguasNeutrales","@AguasNeutrales")</f>
        <v>@AguasNeutrales</v>
      </c>
      <c r="C731" s="8" t="s">
        <v>2710</v>
      </c>
      <c r="D731" s="9" t="s">
        <v>2711</v>
      </c>
      <c r="E731" s="10" t="str">
        <f>HYPERLINK("https://twitter.com/AguasNeutrales/status/1065511733178044416","1065511733178044416")</f>
        <v>1065511733178044416</v>
      </c>
      <c r="F731" s="11" t="s">
        <v>2712</v>
      </c>
      <c r="G731" s="11" t="s">
        <v>2713</v>
      </c>
      <c r="H731" s="12"/>
      <c r="I731" s="13">
        <v>0</v>
      </c>
      <c r="J731" s="13">
        <v>0</v>
      </c>
      <c r="K731" s="14" t="str">
        <f t="shared" si="141"/>
        <v>Twitter Web Client</v>
      </c>
      <c r="L731" s="13">
        <v>841</v>
      </c>
      <c r="M731" s="13">
        <v>2081</v>
      </c>
      <c r="N731" s="13">
        <v>5</v>
      </c>
      <c r="O731" s="15"/>
      <c r="P731" s="6">
        <v>41801.927615740744</v>
      </c>
      <c r="Q731" s="12"/>
      <c r="R731" s="16" t="s">
        <v>2714</v>
      </c>
      <c r="S731" s="12"/>
      <c r="T731" s="12"/>
      <c r="U731" s="10" t="str">
        <f>HYPERLINK("https://pbs.twimg.com/profile_images/1008462024282689536/Q3Z1dTgf.jpg","View")</f>
        <v>View</v>
      </c>
    </row>
    <row r="732" spans="1:21" ht="51">
      <c r="A732" s="6">
        <v>43425.95585648148</v>
      </c>
      <c r="B732" s="7" t="str">
        <f>HYPERLINK("https://twitter.com/MaykeSchultz","@MaykeSchultz")</f>
        <v>@MaykeSchultz</v>
      </c>
      <c r="C732" s="8" t="s">
        <v>2715</v>
      </c>
      <c r="D732" s="9" t="s">
        <v>2716</v>
      </c>
      <c r="E732" s="10" t="str">
        <f>HYPERLINK("https://twitter.com/MaykeSchultz/status/1065499228645089280","1065499228645089280")</f>
        <v>1065499228645089280</v>
      </c>
      <c r="F732" s="12"/>
      <c r="G732" s="12"/>
      <c r="H732" s="12"/>
      <c r="I732" s="13">
        <v>0</v>
      </c>
      <c r="J732" s="13">
        <v>0</v>
      </c>
      <c r="K732" s="14" t="str">
        <f>HYPERLINK("http://twitter.com/download/iphone","Twitter for iPhone")</f>
        <v>Twitter for iPhone</v>
      </c>
      <c r="L732" s="13">
        <v>5476</v>
      </c>
      <c r="M732" s="13">
        <v>5390</v>
      </c>
      <c r="N732" s="13">
        <v>12</v>
      </c>
      <c r="O732" s="15"/>
      <c r="P732" s="6">
        <v>42855.240497685183</v>
      </c>
      <c r="Q732" s="17" t="s">
        <v>2717</v>
      </c>
      <c r="R732" s="16" t="s">
        <v>2718</v>
      </c>
      <c r="S732" s="12"/>
      <c r="T732" s="12"/>
      <c r="U732" s="10" t="str">
        <f>HYPERLINK("https://pbs.twimg.com/profile_images/898529991176093696/IGEI0uNA.jpg","View")</f>
        <v>View</v>
      </c>
    </row>
    <row r="733" spans="1:21" ht="61.2">
      <c r="A733" s="6">
        <v>43425.955150462964</v>
      </c>
      <c r="B733" s="7" t="str">
        <f>HYPERLINK("https://twitter.com/compromtido22","@compromtido22")</f>
        <v>@compromtido22</v>
      </c>
      <c r="C733" s="8" t="s">
        <v>1471</v>
      </c>
      <c r="D733" s="9" t="s">
        <v>2719</v>
      </c>
      <c r="E733" s="10" t="str">
        <f>HYPERLINK("https://twitter.com/compromtido22/status/1065498973253894145","1065498973253894145")</f>
        <v>1065498973253894145</v>
      </c>
      <c r="F733" s="12"/>
      <c r="G733" s="12"/>
      <c r="H733" s="12"/>
      <c r="I733" s="13">
        <v>2</v>
      </c>
      <c r="J733" s="13">
        <v>2</v>
      </c>
      <c r="K733" s="14" t="str">
        <f>HYPERLINK("http://twitter.com/download/android","Twitter for Android")</f>
        <v>Twitter for Android</v>
      </c>
      <c r="L733" s="13">
        <v>962</v>
      </c>
      <c r="M733" s="13">
        <v>859</v>
      </c>
      <c r="N733" s="13">
        <v>15</v>
      </c>
      <c r="O733" s="15"/>
      <c r="P733" s="6">
        <v>42411.457291666666</v>
      </c>
      <c r="Q733" s="12"/>
      <c r="R733" s="16" t="s">
        <v>1474</v>
      </c>
      <c r="S733" s="12"/>
      <c r="T733" s="12"/>
      <c r="U733" s="10" t="str">
        <f>HYPERLINK("https://pbs.twimg.com/profile_images/1062806370267860993/RfSkyzB-.jpg","View")</f>
        <v>View</v>
      </c>
    </row>
    <row r="734" spans="1:21" ht="30.6">
      <c r="A734" s="6">
        <v>43425.954861111109</v>
      </c>
      <c r="B734" s="7" t="str">
        <f>HYPERLINK("https://twitter.com/Moncloa_com","@Moncloa_com")</f>
        <v>@Moncloa_com</v>
      </c>
      <c r="C734" s="20" t="s">
        <v>2358</v>
      </c>
      <c r="D734" s="9" t="s">
        <v>2359</v>
      </c>
      <c r="E734" s="10" t="str">
        <f>HYPERLINK("https://twitter.com/Moncloa_com/status/1065498866102005761","1065498866102005761")</f>
        <v>1065498866102005761</v>
      </c>
      <c r="F734" s="11" t="s">
        <v>908</v>
      </c>
      <c r="G734" s="11" t="s">
        <v>909</v>
      </c>
      <c r="H734" s="12"/>
      <c r="I734" s="13">
        <v>5</v>
      </c>
      <c r="J734" s="13">
        <v>3</v>
      </c>
      <c r="K734" s="14" t="str">
        <f>HYPERLINK("https://about.twitter.com/products/tweetdeck","TweetDeck")</f>
        <v>TweetDeck</v>
      </c>
      <c r="L734" s="13">
        <v>9536</v>
      </c>
      <c r="M734" s="13">
        <v>490</v>
      </c>
      <c r="N734" s="13">
        <v>107</v>
      </c>
      <c r="O734" s="15"/>
      <c r="P734" s="6">
        <v>43261.646307870367</v>
      </c>
      <c r="Q734" s="17" t="s">
        <v>26</v>
      </c>
      <c r="R734" s="16" t="s">
        <v>2362</v>
      </c>
      <c r="S734" s="11" t="s">
        <v>2363</v>
      </c>
      <c r="T734" s="12"/>
      <c r="U734" s="10" t="str">
        <f>HYPERLINK("https://pbs.twimg.com/profile_images/1045635876792004608/0KdkQCcF.jpg","View")</f>
        <v>View</v>
      </c>
    </row>
    <row r="735" spans="1:21" ht="30.6">
      <c r="A735" s="6">
        <v>43425.938888888893</v>
      </c>
      <c r="B735" s="7" t="str">
        <f>HYPERLINK("https://twitter.com/Mazelmind","@Mazelmind")</f>
        <v>@Mazelmind</v>
      </c>
      <c r="C735" s="22" t="s">
        <v>2720</v>
      </c>
      <c r="D735" s="9" t="s">
        <v>2721</v>
      </c>
      <c r="E735" s="10" t="str">
        <f>HYPERLINK("https://twitter.com/Mazelmind/status/1065493079132684288","1065493079132684288")</f>
        <v>1065493079132684288</v>
      </c>
      <c r="F735" s="12"/>
      <c r="G735" s="12"/>
      <c r="H735" s="12"/>
      <c r="I735" s="13">
        <v>1</v>
      </c>
      <c r="J735" s="13">
        <v>3</v>
      </c>
      <c r="K735" s="14" t="str">
        <f>HYPERLINK("http://twitter.com/download/android","Twitter for Android")</f>
        <v>Twitter for Android</v>
      </c>
      <c r="L735" s="13">
        <v>4232</v>
      </c>
      <c r="M735" s="13">
        <v>1933</v>
      </c>
      <c r="N735" s="13">
        <v>88</v>
      </c>
      <c r="O735" s="15"/>
      <c r="P735" s="6">
        <v>41697.280370370368</v>
      </c>
      <c r="Q735" s="17" t="s">
        <v>1796</v>
      </c>
      <c r="R735" s="16" t="s">
        <v>2722</v>
      </c>
      <c r="S735" s="11" t="s">
        <v>2723</v>
      </c>
      <c r="T735" s="12"/>
      <c r="U735" s="10" t="str">
        <f>HYPERLINK("https://pbs.twimg.com/profile_images/1013463675938713600/rr3mQUOc.jpg","View")</f>
        <v>View</v>
      </c>
    </row>
    <row r="736" spans="1:21" ht="30.6">
      <c r="A736" s="6">
        <v>43425.935937499999</v>
      </c>
      <c r="B736" s="7" t="str">
        <f>HYPERLINK("https://twitter.com/antonioRG9","@antonioRG9")</f>
        <v>@antonioRG9</v>
      </c>
      <c r="C736" s="8" t="s">
        <v>2724</v>
      </c>
      <c r="D736" s="9" t="s">
        <v>2070</v>
      </c>
      <c r="E736" s="10" t="str">
        <f>HYPERLINK("https://twitter.com/antonioRG9/status/1065492010101026816","1065492010101026816")</f>
        <v>1065492010101026816</v>
      </c>
      <c r="F736" s="11" t="s">
        <v>2725</v>
      </c>
      <c r="G736" s="12"/>
      <c r="H736" s="12"/>
      <c r="I736" s="13">
        <v>0</v>
      </c>
      <c r="J736" s="13">
        <v>1</v>
      </c>
      <c r="K736" s="14" t="str">
        <f t="shared" ref="K736:K737" si="142">HYPERLINK("http://twitter.com/download/iphone","Twitter for iPhone")</f>
        <v>Twitter for iPhone</v>
      </c>
      <c r="L736" s="13">
        <v>741</v>
      </c>
      <c r="M736" s="13">
        <v>666</v>
      </c>
      <c r="N736" s="13">
        <v>11</v>
      </c>
      <c r="O736" s="15"/>
      <c r="P736" s="6">
        <v>40868.494560185187</v>
      </c>
      <c r="Q736" s="17" t="s">
        <v>76</v>
      </c>
      <c r="R736" s="16" t="s">
        <v>2726</v>
      </c>
      <c r="S736" s="11" t="s">
        <v>2727</v>
      </c>
      <c r="T736" s="12"/>
      <c r="U736" s="10" t="str">
        <f>HYPERLINK("https://pbs.twimg.com/profile_images/965704827866054656/mDDv_VLR.jpg","View")</f>
        <v>View</v>
      </c>
    </row>
    <row r="737" spans="1:21" ht="30.6">
      <c r="A737" s="6">
        <v>43425.923310185186</v>
      </c>
      <c r="B737" s="7" t="str">
        <f>HYPERLINK("https://twitter.com/RamonMLGA","@RamonMLGA")</f>
        <v>@RamonMLGA</v>
      </c>
      <c r="C737" s="8" t="s">
        <v>831</v>
      </c>
      <c r="D737" s="9" t="s">
        <v>2728</v>
      </c>
      <c r="E737" s="10" t="str">
        <f>HYPERLINK("https://twitter.com/RamonMLGA/status/1065487433087758336","1065487433087758336")</f>
        <v>1065487433087758336</v>
      </c>
      <c r="F737" s="11" t="s">
        <v>2525</v>
      </c>
      <c r="G737" s="12"/>
      <c r="H737" s="12"/>
      <c r="I737" s="13">
        <v>7</v>
      </c>
      <c r="J737" s="13">
        <v>6</v>
      </c>
      <c r="K737" s="14" t="str">
        <f t="shared" si="142"/>
        <v>Twitter for iPhone</v>
      </c>
      <c r="L737" s="13">
        <v>9937</v>
      </c>
      <c r="M737" s="13">
        <v>5134</v>
      </c>
      <c r="N737" s="13">
        <v>82</v>
      </c>
      <c r="O737" s="15"/>
      <c r="P737" s="6">
        <v>41993.259409722217</v>
      </c>
      <c r="Q737" s="17" t="s">
        <v>506</v>
      </c>
      <c r="R737" s="16" t="s">
        <v>832</v>
      </c>
      <c r="S737" s="11" t="s">
        <v>833</v>
      </c>
      <c r="T737" s="12"/>
      <c r="U737" s="10" t="str">
        <f>HYPERLINK("https://pbs.twimg.com/profile_images/1064883832757866496/YwnWCi4f.jpg","View")</f>
        <v>View</v>
      </c>
    </row>
    <row r="738" spans="1:21" ht="20.399999999999999">
      <c r="A738" s="6">
        <v>43425.916712962964</v>
      </c>
      <c r="B738" s="7" t="str">
        <f>HYPERLINK("https://twitter.com/NotiVenezuela7","@NotiVenezuela7")</f>
        <v>@NotiVenezuela7</v>
      </c>
      <c r="C738" s="20" t="s">
        <v>2731</v>
      </c>
      <c r="D738" s="9" t="s">
        <v>2732</v>
      </c>
      <c r="E738" s="10" t="str">
        <f>HYPERLINK("https://twitter.com/NotiVenezuela7/status/1065485043127201797","1065485043127201797")</f>
        <v>1065485043127201797</v>
      </c>
      <c r="F738" s="11" t="s">
        <v>2733</v>
      </c>
      <c r="G738" s="12"/>
      <c r="H738" s="12"/>
      <c r="I738" s="13">
        <v>0</v>
      </c>
      <c r="J738" s="13">
        <v>0</v>
      </c>
      <c r="K738" s="14" t="str">
        <f>HYPERLINK("http://bolivia.becasinternacionales.net","NotiVenezuelaWebConnect")</f>
        <v>NotiVenezuelaWebConnect</v>
      </c>
      <c r="L738" s="13">
        <v>1557</v>
      </c>
      <c r="M738" s="13">
        <v>158</v>
      </c>
      <c r="N738" s="13">
        <v>68</v>
      </c>
      <c r="O738" s="15"/>
      <c r="P738" s="6">
        <v>41026.570219907408</v>
      </c>
      <c r="Q738" s="17" t="s">
        <v>69</v>
      </c>
      <c r="R738" s="16" t="s">
        <v>2734</v>
      </c>
      <c r="S738" s="11" t="s">
        <v>2735</v>
      </c>
      <c r="T738" s="12"/>
      <c r="U738" s="10" t="str">
        <f>HYPERLINK("https://pbs.twimg.com/profile_images/931978594146013187/dd8KYUQj.jpg","View")</f>
        <v>View</v>
      </c>
    </row>
    <row r="739" spans="1:21" ht="40.799999999999997">
      <c r="A739" s="6">
        <v>43425.845000000001</v>
      </c>
      <c r="B739" s="7" t="str">
        <f>HYPERLINK("https://twitter.com/democraciareal","@democraciareal")</f>
        <v>@democraciareal</v>
      </c>
      <c r="C739" s="8" t="s">
        <v>2736</v>
      </c>
      <c r="D739" s="9" t="s">
        <v>2737</v>
      </c>
      <c r="E739" s="10" t="str">
        <f>HYPERLINK("https://twitter.com/democraciareal/status/1065459056293367808","1065459056293367808")</f>
        <v>1065459056293367808</v>
      </c>
      <c r="F739" s="12"/>
      <c r="G739" s="11" t="s">
        <v>2738</v>
      </c>
      <c r="H739" s="12"/>
      <c r="I739" s="13">
        <v>2</v>
      </c>
      <c r="J739" s="13">
        <v>6</v>
      </c>
      <c r="K739" s="14" t="str">
        <f>HYPERLINK("https://about.twitter.com/products/tweetdeck","TweetDeck")</f>
        <v>TweetDeck</v>
      </c>
      <c r="L739" s="13">
        <v>229245</v>
      </c>
      <c r="M739" s="13">
        <v>1651</v>
      </c>
      <c r="N739" s="13">
        <v>4110</v>
      </c>
      <c r="O739" s="19" t="s">
        <v>74</v>
      </c>
      <c r="P739" s="6">
        <v>40618.542870370373</v>
      </c>
      <c r="Q739" s="17" t="s">
        <v>29</v>
      </c>
      <c r="R739" s="16" t="s">
        <v>2739</v>
      </c>
      <c r="S739" s="11" t="s">
        <v>2740</v>
      </c>
      <c r="T739" s="12"/>
      <c r="U739" s="10" t="str">
        <f>HYPERLINK("https://pbs.twimg.com/profile_images/378800000781070024/42aa7414bda63086ad3e4c458e55031b.jpeg","View")</f>
        <v>View</v>
      </c>
    </row>
    <row r="740" spans="1:21" ht="40.799999999999997">
      <c r="A740" s="6">
        <v>43425.816087962958</v>
      </c>
      <c r="B740" s="7" t="str">
        <f>HYPERLINK("https://twitter.com/rafa_morata","@rafa_morata")</f>
        <v>@rafa_morata</v>
      </c>
      <c r="C740" s="8" t="s">
        <v>2741</v>
      </c>
      <c r="D740" s="9" t="s">
        <v>2742</v>
      </c>
      <c r="E740" s="10" t="str">
        <f>HYPERLINK("https://twitter.com/rafa_morata/status/1065448578880102401","1065448578880102401")</f>
        <v>1065448578880102401</v>
      </c>
      <c r="F740" s="11" t="s">
        <v>2745</v>
      </c>
      <c r="G740" s="12"/>
      <c r="H740" s="12"/>
      <c r="I740" s="13">
        <v>0</v>
      </c>
      <c r="J740" s="13">
        <v>0</v>
      </c>
      <c r="K740" s="14" t="str">
        <f>HYPERLINK("http://twitter.com/download/android","Twitter for Android")</f>
        <v>Twitter for Android</v>
      </c>
      <c r="L740" s="13">
        <v>2920</v>
      </c>
      <c r="M740" s="13">
        <v>3450</v>
      </c>
      <c r="N740" s="13">
        <v>62</v>
      </c>
      <c r="O740" s="15"/>
      <c r="P740" s="6">
        <v>40580.364606481482</v>
      </c>
      <c r="Q740" s="17" t="s">
        <v>2746</v>
      </c>
      <c r="R740" s="16" t="s">
        <v>2747</v>
      </c>
      <c r="S740" s="11" t="s">
        <v>2748</v>
      </c>
      <c r="T740" s="12"/>
      <c r="U740" s="10" t="str">
        <f>HYPERLINK("https://pbs.twimg.com/profile_images/1053296947627507712/53q_0tB9.jpg","View")</f>
        <v>View</v>
      </c>
    </row>
    <row r="741" spans="1:21" ht="40.799999999999997">
      <c r="A741" s="6">
        <v>43425.789652777778</v>
      </c>
      <c r="B741" s="7" t="str">
        <f>HYPERLINK("https://twitter.com/PlenoSenado","@PlenoSenado")</f>
        <v>@PlenoSenado</v>
      </c>
      <c r="C741" s="8" t="s">
        <v>2750</v>
      </c>
      <c r="D741" s="9" t="s">
        <v>2382</v>
      </c>
      <c r="E741" s="10" t="str">
        <f>HYPERLINK("https://twitter.com/PlenoSenado/status/1065438997646692352","1065438997646692352")</f>
        <v>1065438997646692352</v>
      </c>
      <c r="F741" s="11" t="s">
        <v>2751</v>
      </c>
      <c r="G741" s="11" t="s">
        <v>2752</v>
      </c>
      <c r="H741" s="12"/>
      <c r="I741" s="13">
        <v>0</v>
      </c>
      <c r="J741" s="13">
        <v>0</v>
      </c>
      <c r="K741" s="14" t="str">
        <f>HYPERLINK("https://dlvrit.com/","dlvr.it")</f>
        <v>dlvr.it</v>
      </c>
      <c r="L741" s="13">
        <v>108</v>
      </c>
      <c r="M741" s="13">
        <v>292</v>
      </c>
      <c r="N741" s="13">
        <v>4</v>
      </c>
      <c r="O741" s="15"/>
      <c r="P741" s="6">
        <v>42810.54965277778</v>
      </c>
      <c r="Q741" s="17" t="s">
        <v>29</v>
      </c>
      <c r="R741" s="16" t="s">
        <v>2753</v>
      </c>
      <c r="S741" s="12"/>
      <c r="T741" s="12"/>
      <c r="U741" s="10" t="str">
        <f>HYPERLINK("https://pbs.twimg.com/profile_images/899320773395001344/0RfVoy-p.jpg","View")</f>
        <v>View</v>
      </c>
    </row>
    <row r="742" spans="1:21" ht="40.799999999999997">
      <c r="A742" s="6">
        <v>43425.777870370366</v>
      </c>
      <c r="B742" s="7" t="str">
        <f>HYPERLINK("https://twitter.com/MaxJovenGay","@MaxJovenGay")</f>
        <v>@MaxJovenGay</v>
      </c>
      <c r="C742" s="8" t="s">
        <v>2754</v>
      </c>
      <c r="D742" s="9" t="s">
        <v>2755</v>
      </c>
      <c r="E742" s="10" t="str">
        <f>HYPERLINK("https://twitter.com/MaxJovenGay/status/1065434727639859200","1065434727639859200")</f>
        <v>1065434727639859200</v>
      </c>
      <c r="F742" s="11" t="s">
        <v>2756</v>
      </c>
      <c r="G742" s="11" t="s">
        <v>2757</v>
      </c>
      <c r="H742" s="12"/>
      <c r="I742" s="13">
        <v>0</v>
      </c>
      <c r="J742" s="13">
        <v>0</v>
      </c>
      <c r="K742" s="14" t="str">
        <f t="shared" ref="K742:K743" si="143">HYPERLINK("http://twitter.com","Twitter Web Client")</f>
        <v>Twitter Web Client</v>
      </c>
      <c r="L742" s="13">
        <v>2743</v>
      </c>
      <c r="M742" s="13">
        <v>2023</v>
      </c>
      <c r="N742" s="13">
        <v>50</v>
      </c>
      <c r="O742" s="15"/>
      <c r="P742" s="6">
        <v>42333.544942129629</v>
      </c>
      <c r="Q742" s="17" t="s">
        <v>215</v>
      </c>
      <c r="R742" s="16" t="s">
        <v>2758</v>
      </c>
      <c r="S742" s="11" t="s">
        <v>2759</v>
      </c>
      <c r="T742" s="12"/>
      <c r="U742" s="10" t="str">
        <f>HYPERLINK("https://pbs.twimg.com/profile_images/1002519881584185345/qemAcfXh.jpg","View")</f>
        <v>View</v>
      </c>
    </row>
    <row r="743" spans="1:21" ht="20.399999999999999">
      <c r="A743" s="6">
        <v>43425.760868055557</v>
      </c>
      <c r="B743" s="7" t="str">
        <f>HYPERLINK("https://twitter.com/LauraFe66265357","@LauraFe66265357")</f>
        <v>@LauraFe66265357</v>
      </c>
      <c r="C743" s="8" t="s">
        <v>2760</v>
      </c>
      <c r="D743" s="9" t="s">
        <v>2761</v>
      </c>
      <c r="E743" s="10" t="str">
        <f>HYPERLINK("https://twitter.com/LauraFe66265357/status/1065428567285207041","1065428567285207041")</f>
        <v>1065428567285207041</v>
      </c>
      <c r="F743" s="11" t="s">
        <v>2762</v>
      </c>
      <c r="G743" s="12"/>
      <c r="H743" s="12"/>
      <c r="I743" s="13">
        <v>0</v>
      </c>
      <c r="J743" s="13">
        <v>0</v>
      </c>
      <c r="K743" s="14" t="str">
        <f t="shared" si="143"/>
        <v>Twitter Web Client</v>
      </c>
      <c r="L743" s="13">
        <v>13</v>
      </c>
      <c r="M743" s="13">
        <v>121</v>
      </c>
      <c r="N743" s="13">
        <v>1</v>
      </c>
      <c r="O743" s="15"/>
      <c r="P743" s="6">
        <v>41103.61277777778</v>
      </c>
      <c r="Q743" s="12"/>
      <c r="R743" s="18"/>
      <c r="S743" s="12"/>
      <c r="T743" s="12"/>
      <c r="U743" s="19" t="s">
        <v>368</v>
      </c>
    </row>
    <row r="744" spans="1:21" ht="40.799999999999997">
      <c r="A744" s="6">
        <v>43425.722025462965</v>
      </c>
      <c r="B744" s="7" t="str">
        <f>HYPERLINK("https://twitter.com/Ben_Quick_","@Ben_Quick_")</f>
        <v>@Ben_Quick_</v>
      </c>
      <c r="C744" s="8" t="s">
        <v>2763</v>
      </c>
      <c r="D744" s="9" t="s">
        <v>245</v>
      </c>
      <c r="E744" s="10" t="str">
        <f>HYPERLINK("https://twitter.com/Ben_Quick_/status/1065414490836164608","1065414490836164608")</f>
        <v>1065414490836164608</v>
      </c>
      <c r="F744" s="11" t="s">
        <v>2764</v>
      </c>
      <c r="G744" s="12"/>
      <c r="H744" s="12"/>
      <c r="I744" s="13">
        <v>0</v>
      </c>
      <c r="J744" s="13">
        <v>0</v>
      </c>
      <c r="K744" s="14" t="str">
        <f>HYPERLINK("https://ifttt.com","IFTTT")</f>
        <v>IFTTT</v>
      </c>
      <c r="L744" s="13">
        <v>3316</v>
      </c>
      <c r="M744" s="13">
        <v>3333</v>
      </c>
      <c r="N744" s="13">
        <v>8</v>
      </c>
      <c r="O744" s="15"/>
      <c r="P744" s="6">
        <v>43008.679664351846</v>
      </c>
      <c r="Q744" s="17" t="s">
        <v>2765</v>
      </c>
      <c r="R744" s="16" t="s">
        <v>2766</v>
      </c>
      <c r="S744" s="12"/>
      <c r="T744" s="12"/>
      <c r="U744" s="10" t="str">
        <f>HYPERLINK("https://pbs.twimg.com/profile_images/914270747845173248/2weEqrIZ.jpg","View")</f>
        <v>View</v>
      </c>
    </row>
    <row r="745" spans="1:21" ht="40.799999999999997">
      <c r="A745" s="6">
        <v>43425.688692129625</v>
      </c>
      <c r="B745" s="7" t="str">
        <f>HYPERLINK("https://twitter.com/juanca_sev","@juanca_sev")</f>
        <v>@juanca_sev</v>
      </c>
      <c r="C745" s="8" t="s">
        <v>170</v>
      </c>
      <c r="D745" s="9" t="s">
        <v>1749</v>
      </c>
      <c r="E745" s="10" t="str">
        <f>HYPERLINK("https://twitter.com/juanca_sev/status/1065402411454525441","1065402411454525441")</f>
        <v>1065402411454525441</v>
      </c>
      <c r="F745" s="11" t="s">
        <v>2767</v>
      </c>
      <c r="G745" s="12"/>
      <c r="H745" s="12"/>
      <c r="I745" s="13">
        <v>0</v>
      </c>
      <c r="J745" s="13">
        <v>0</v>
      </c>
      <c r="K745" s="14" t="str">
        <f>HYPERLINK("http://twitter.com/download/android","Twitter for Android")</f>
        <v>Twitter for Android</v>
      </c>
      <c r="L745" s="13">
        <v>2436</v>
      </c>
      <c r="M745" s="13">
        <v>1000</v>
      </c>
      <c r="N745" s="13">
        <v>69</v>
      </c>
      <c r="O745" s="15"/>
      <c r="P745" s="6">
        <v>40061.715787037036</v>
      </c>
      <c r="Q745" s="17" t="s">
        <v>173</v>
      </c>
      <c r="R745" s="16" t="s">
        <v>174</v>
      </c>
      <c r="S745" s="11" t="s">
        <v>175</v>
      </c>
      <c r="T745" s="12"/>
      <c r="U745" s="10" t="str">
        <f>HYPERLINK("https://pbs.twimg.com/profile_images/1063086451917762560/B8nClP5Y.jpg","View")</f>
        <v>View</v>
      </c>
    </row>
    <row r="746" spans="1:21" ht="20.399999999999999">
      <c r="A746" s="6">
        <v>43425.686203703706</v>
      </c>
      <c r="B746" s="7" t="str">
        <f>HYPERLINK("https://twitter.com/titulares24hora","@titulares24hora")</f>
        <v>@titulares24hora</v>
      </c>
      <c r="C746" s="8" t="s">
        <v>654</v>
      </c>
      <c r="D746" s="9" t="s">
        <v>2382</v>
      </c>
      <c r="E746" s="10" t="str">
        <f>HYPERLINK("https://twitter.com/titulares24hora/status/1065401508244701184","1065401508244701184")</f>
        <v>1065401508244701184</v>
      </c>
      <c r="F746" s="12"/>
      <c r="G746" s="12"/>
      <c r="H746" s="12"/>
      <c r="I746" s="13">
        <v>0</v>
      </c>
      <c r="J746" s="13">
        <v>0</v>
      </c>
      <c r="K746" s="14" t="str">
        <f t="shared" ref="K746:K747" si="144">HYPERLINK("https://ifttt.com","IFTTT")</f>
        <v>IFTTT</v>
      </c>
      <c r="L746" s="13">
        <v>394</v>
      </c>
      <c r="M746" s="13">
        <v>1463</v>
      </c>
      <c r="N746" s="13">
        <v>2</v>
      </c>
      <c r="O746" s="15"/>
      <c r="P746" s="6">
        <v>42508.071805555555</v>
      </c>
      <c r="Q746" s="12"/>
      <c r="R746" s="16" t="s">
        <v>655</v>
      </c>
      <c r="S746" s="12"/>
      <c r="T746" s="12"/>
      <c r="U746" s="10" t="str">
        <f>HYPERLINK("https://pbs.twimg.com/profile_images/732855169034166272/A8O2LY2J.jpg","View")</f>
        <v>View</v>
      </c>
    </row>
    <row r="747" spans="1:21" ht="20.399999999999999">
      <c r="A747" s="6">
        <v>43425.68204861111</v>
      </c>
      <c r="B747" s="7" t="str">
        <f>HYPERLINK("https://twitter.com/adelacafe93","@adelacafe93")</f>
        <v>@adelacafe93</v>
      </c>
      <c r="C747" s="8" t="s">
        <v>658</v>
      </c>
      <c r="D747" s="9" t="s">
        <v>2382</v>
      </c>
      <c r="E747" s="10" t="str">
        <f>HYPERLINK("https://twitter.com/adelacafe93/status/1065400001239687168","1065400001239687168")</f>
        <v>1065400001239687168</v>
      </c>
      <c r="F747" s="11" t="s">
        <v>2769</v>
      </c>
      <c r="G747" s="12"/>
      <c r="H747" s="12"/>
      <c r="I747" s="13">
        <v>0</v>
      </c>
      <c r="J747" s="13">
        <v>0</v>
      </c>
      <c r="K747" s="14" t="str">
        <f t="shared" si="144"/>
        <v>IFTTT</v>
      </c>
      <c r="L747" s="13">
        <v>18</v>
      </c>
      <c r="M747" s="13">
        <v>47</v>
      </c>
      <c r="N747" s="13">
        <v>0</v>
      </c>
      <c r="O747" s="15"/>
      <c r="P747" s="6">
        <v>42761.240034722221</v>
      </c>
      <c r="Q747" s="17" t="s">
        <v>660</v>
      </c>
      <c r="R747" s="16" t="s">
        <v>661</v>
      </c>
      <c r="S747" s="12"/>
      <c r="T747" s="12"/>
      <c r="U747" s="10" t="str">
        <f>HYPERLINK("https://pbs.twimg.com/profile_images/824614694078013444/fkDV_Y0Z.jpg","View")</f>
        <v>View</v>
      </c>
    </row>
    <row r="748" spans="1:21" ht="51">
      <c r="A748" s="6">
        <v>43425.673576388886</v>
      </c>
      <c r="B748" s="7" t="str">
        <f>HYPERLINK("https://twitter.com/PBMarbeMalaga","@PBMarbeMalaga")</f>
        <v>@PBMarbeMalaga</v>
      </c>
      <c r="C748" s="8" t="s">
        <v>2771</v>
      </c>
      <c r="D748" s="9" t="s">
        <v>2772</v>
      </c>
      <c r="E748" s="10" t="str">
        <f>HYPERLINK("https://twitter.com/PBMarbeMalaga/status/1065396933999640576","1065396933999640576")</f>
        <v>1065396933999640576</v>
      </c>
      <c r="F748" s="11" t="s">
        <v>2764</v>
      </c>
      <c r="G748" s="12"/>
      <c r="H748" s="12"/>
      <c r="I748" s="13">
        <v>0</v>
      </c>
      <c r="J748" s="13">
        <v>0</v>
      </c>
      <c r="K748" s="14" t="str">
        <f>HYPERLINK("https://javitang.ddns.net","PBMarbeMalaga")</f>
        <v>PBMarbeMalaga</v>
      </c>
      <c r="L748" s="13">
        <v>1222</v>
      </c>
      <c r="M748" s="13">
        <v>1245</v>
      </c>
      <c r="N748" s="13">
        <v>2</v>
      </c>
      <c r="O748" s="15"/>
      <c r="P748" s="6">
        <v>43149.439074074078</v>
      </c>
      <c r="Q748" s="17" t="s">
        <v>2773</v>
      </c>
      <c r="R748" s="16" t="s">
        <v>2774</v>
      </c>
      <c r="S748" s="12"/>
      <c r="T748" s="12"/>
      <c r="U748" s="10" t="str">
        <f>HYPERLINK("https://pbs.twimg.com/profile_images/965296691145531392/sAFnfUu2.jpg","View")</f>
        <v>View</v>
      </c>
    </row>
    <row r="749" spans="1:21" ht="71.400000000000006">
      <c r="A749" s="6">
        <v>43425.672210648147</v>
      </c>
      <c r="B749" s="7" t="str">
        <f>HYPERLINK("https://twitter.com/SolanesPep","@SolanesPep")</f>
        <v>@SolanesPep</v>
      </c>
      <c r="C749" s="8" t="s">
        <v>2775</v>
      </c>
      <c r="D749" s="9" t="s">
        <v>2776</v>
      </c>
      <c r="E749" s="10" t="str">
        <f>HYPERLINK("https://twitter.com/SolanesPep/status/1065396437444423680","1065396437444423680")</f>
        <v>1065396437444423680</v>
      </c>
      <c r="F749" s="11" t="s">
        <v>1686</v>
      </c>
      <c r="G749" s="12"/>
      <c r="H749" s="12"/>
      <c r="I749" s="13">
        <v>0</v>
      </c>
      <c r="J749" s="13">
        <v>0</v>
      </c>
      <c r="K749" s="14" t="str">
        <f>HYPERLINK("http://twitter.com","Twitter Web Client")</f>
        <v>Twitter Web Client</v>
      </c>
      <c r="L749" s="13">
        <v>406</v>
      </c>
      <c r="M749" s="13">
        <v>917</v>
      </c>
      <c r="N749" s="13">
        <v>2</v>
      </c>
      <c r="O749" s="15"/>
      <c r="P749" s="6">
        <v>43204.320231481484</v>
      </c>
      <c r="Q749" s="17" t="s">
        <v>2777</v>
      </c>
      <c r="R749" s="16" t="s">
        <v>2778</v>
      </c>
      <c r="S749" s="12"/>
      <c r="T749" s="12"/>
      <c r="U749" s="10" t="str">
        <f>HYPERLINK("https://pbs.twimg.com/profile_images/1013524591095025664/P2u12grR.jpg","View")</f>
        <v>View</v>
      </c>
    </row>
    <row r="750" spans="1:21" ht="51">
      <c r="A750" s="6">
        <v>43425.662291666667</v>
      </c>
      <c r="B750" s="7" t="str">
        <f>HYPERLINK("https://twitter.com/AdeSiracusa","@AdeSiracusa")</f>
        <v>@AdeSiracusa</v>
      </c>
      <c r="C750" s="8" t="s">
        <v>2779</v>
      </c>
      <c r="D750" s="9" t="s">
        <v>2780</v>
      </c>
      <c r="E750" s="10" t="str">
        <f>HYPERLINK("https://twitter.com/AdeSiracusa/status/1065392844016365568","1065392844016365568")</f>
        <v>1065392844016365568</v>
      </c>
      <c r="F750" s="11" t="s">
        <v>2764</v>
      </c>
      <c r="G750" s="12"/>
      <c r="H750" s="12"/>
      <c r="I750" s="13">
        <v>0</v>
      </c>
      <c r="J750" s="13">
        <v>0</v>
      </c>
      <c r="K750" s="14" t="str">
        <f>HYPERLINK("http://www.republicosvenezuela.com/","AdeSiracusa")</f>
        <v>AdeSiracusa</v>
      </c>
      <c r="L750" s="13">
        <v>3920</v>
      </c>
      <c r="M750" s="13">
        <v>3927</v>
      </c>
      <c r="N750" s="13">
        <v>12</v>
      </c>
      <c r="O750" s="15"/>
      <c r="P750" s="6">
        <v>42958.201388888891</v>
      </c>
      <c r="Q750" s="17" t="s">
        <v>614</v>
      </c>
      <c r="R750" s="16" t="s">
        <v>2781</v>
      </c>
      <c r="S750" s="12"/>
      <c r="T750" s="12"/>
      <c r="U750" s="10" t="str">
        <f>HYPERLINK("https://pbs.twimg.com/profile_images/895978354591105024/x2wNXrPl.jpg","View")</f>
        <v>View</v>
      </c>
    </row>
    <row r="751" spans="1:21" ht="51">
      <c r="A751" s="6">
        <v>43425.661099537036</v>
      </c>
      <c r="B751" s="7" t="str">
        <f>HYPERLINK("https://twitter.com/TercioHispanico","@TercioHispanico")</f>
        <v>@TercioHispanico</v>
      </c>
      <c r="C751" s="8" t="s">
        <v>2782</v>
      </c>
      <c r="D751" s="9" t="s">
        <v>2783</v>
      </c>
      <c r="E751" s="10" t="str">
        <f>HYPERLINK("https://twitter.com/TercioHispanico/status/1065392411118055424","1065392411118055424")</f>
        <v>1065392411118055424</v>
      </c>
      <c r="F751" s="11" t="s">
        <v>2764</v>
      </c>
      <c r="G751" s="12"/>
      <c r="H751" s="12"/>
      <c r="I751" s="13">
        <v>0</v>
      </c>
      <c r="J751" s="13">
        <v>0</v>
      </c>
      <c r="K751" s="14" t="str">
        <f>HYPERLINK("https://diariorc.com","Tercio Hispánico App C")</f>
        <v>Tercio Hispánico App C</v>
      </c>
      <c r="L751" s="13">
        <v>1463</v>
      </c>
      <c r="M751" s="13">
        <v>1448</v>
      </c>
      <c r="N751" s="13">
        <v>3</v>
      </c>
      <c r="O751" s="15"/>
      <c r="P751" s="6">
        <v>43074.442384259259</v>
      </c>
      <c r="Q751" s="17" t="s">
        <v>29</v>
      </c>
      <c r="R751" s="16" t="s">
        <v>2785</v>
      </c>
      <c r="S751" s="12"/>
      <c r="T751" s="12"/>
      <c r="U751" s="10" t="str">
        <f>HYPERLINK("https://pbs.twimg.com/profile_images/938810411045941249/GJ1yq9OJ.jpg","View")</f>
        <v>View</v>
      </c>
    </row>
    <row r="752" spans="1:21" ht="40.799999999999997">
      <c r="A752" s="6">
        <v>43425.652951388889</v>
      </c>
      <c r="B752" s="7" t="str">
        <f>HYPERLINK("https://twitter.com/EstadoDeSitio_","@EstadoDeSitio_")</f>
        <v>@EstadoDeSitio_</v>
      </c>
      <c r="C752" s="8" t="s">
        <v>2786</v>
      </c>
      <c r="D752" s="9" t="s">
        <v>245</v>
      </c>
      <c r="E752" s="10" t="str">
        <f>HYPERLINK("https://twitter.com/EstadoDeSitio_/status/1065389458932068354","1065389458932068354")</f>
        <v>1065389458932068354</v>
      </c>
      <c r="F752" s="11" t="s">
        <v>2764</v>
      </c>
      <c r="G752" s="12"/>
      <c r="H752" s="12"/>
      <c r="I752" s="13">
        <v>0</v>
      </c>
      <c r="J752" s="13">
        <v>0</v>
      </c>
      <c r="K752" s="14" t="str">
        <f>HYPERLINK("https://ifttt.com","IFTTT")</f>
        <v>IFTTT</v>
      </c>
      <c r="L752" s="13">
        <v>3046</v>
      </c>
      <c r="M752" s="13">
        <v>3070</v>
      </c>
      <c r="N752" s="13">
        <v>5</v>
      </c>
      <c r="O752" s="15"/>
      <c r="P752" s="6">
        <v>43024.697835648149</v>
      </c>
      <c r="Q752" s="17" t="s">
        <v>2787</v>
      </c>
      <c r="R752" s="16" t="s">
        <v>2788</v>
      </c>
      <c r="S752" s="12"/>
      <c r="T752" s="12"/>
      <c r="U752" s="10" t="str">
        <f>HYPERLINK("https://pbs.twimg.com/profile_images/920076409808261121/GMzYHJhU.jpg","View")</f>
        <v>View</v>
      </c>
    </row>
    <row r="753" spans="1:21" ht="51">
      <c r="A753" s="6">
        <v>43425.649768518517</v>
      </c>
      <c r="B753" s="7" t="str">
        <f>HYPERLINK("https://twitter.com/lisalva2001","@lisalva2001")</f>
        <v>@lisalva2001</v>
      </c>
      <c r="C753" s="8" t="s">
        <v>2789</v>
      </c>
      <c r="D753" s="9" t="s">
        <v>2790</v>
      </c>
      <c r="E753" s="10" t="str">
        <f>HYPERLINK("https://twitter.com/lisalva2001/status/1065388305401958400","1065388305401958400")</f>
        <v>1065388305401958400</v>
      </c>
      <c r="F753" s="11" t="s">
        <v>2194</v>
      </c>
      <c r="G753" s="12"/>
      <c r="H753" s="12"/>
      <c r="I753" s="13">
        <v>1</v>
      </c>
      <c r="J753" s="13">
        <v>1</v>
      </c>
      <c r="K753" s="14" t="str">
        <f t="shared" ref="K753:K757" si="145">HYPERLINK("http://twitter.com/download/android","Twitter for Android")</f>
        <v>Twitter for Android</v>
      </c>
      <c r="L753" s="13">
        <v>514</v>
      </c>
      <c r="M753" s="13">
        <v>1199</v>
      </c>
      <c r="N753" s="13">
        <v>0</v>
      </c>
      <c r="O753" s="15"/>
      <c r="P753" s="6">
        <v>41719.49381944444</v>
      </c>
      <c r="Q753" s="17" t="s">
        <v>187</v>
      </c>
      <c r="R753" s="16" t="s">
        <v>2791</v>
      </c>
      <c r="S753" s="11" t="s">
        <v>2792</v>
      </c>
      <c r="T753" s="12"/>
      <c r="U753" s="10" t="str">
        <f>HYPERLINK("https://pbs.twimg.com/profile_images/703556542277275649/Vb0qjIB5.jpg","View")</f>
        <v>View</v>
      </c>
    </row>
    <row r="754" spans="1:21" ht="40.799999999999997">
      <c r="A754" s="6">
        <v>43425.647974537038</v>
      </c>
      <c r="B754" s="7" t="str">
        <f>HYPERLINK("https://twitter.com/Oscarteach","@Oscarteach")</f>
        <v>@Oscarteach</v>
      </c>
      <c r="C754" s="8" t="s">
        <v>2793</v>
      </c>
      <c r="D754" s="9" t="s">
        <v>2794</v>
      </c>
      <c r="E754" s="10" t="str">
        <f>HYPERLINK("https://twitter.com/Oscarteach/status/1065387655087775745","1065387655087775745")</f>
        <v>1065387655087775745</v>
      </c>
      <c r="F754" s="12"/>
      <c r="G754" s="12"/>
      <c r="H754" s="12"/>
      <c r="I754" s="13">
        <v>1</v>
      </c>
      <c r="J754" s="13">
        <v>0</v>
      </c>
      <c r="K754" s="14" t="str">
        <f t="shared" si="145"/>
        <v>Twitter for Android</v>
      </c>
      <c r="L754" s="13">
        <v>503</v>
      </c>
      <c r="M754" s="13">
        <v>286</v>
      </c>
      <c r="N754" s="13">
        <v>10</v>
      </c>
      <c r="O754" s="15"/>
      <c r="P754" s="6">
        <v>40745.691701388889</v>
      </c>
      <c r="Q754" s="12"/>
      <c r="R754" s="16" t="s">
        <v>2795</v>
      </c>
      <c r="S754" s="11" t="s">
        <v>2796</v>
      </c>
      <c r="T754" s="12"/>
      <c r="U754" s="10" t="str">
        <f>HYPERLINK("https://pbs.twimg.com/profile_images/772447615325708288/mOPVm5tJ.jpg","View")</f>
        <v>View</v>
      </c>
    </row>
    <row r="755" spans="1:21" ht="40.799999999999997">
      <c r="A755" s="6">
        <v>43425.64461805555</v>
      </c>
      <c r="B755" s="7" t="str">
        <f>HYPERLINK("https://twitter.com/MoufarrejRose","@MoufarrejRose")</f>
        <v>@MoufarrejRose</v>
      </c>
      <c r="C755" s="8" t="s">
        <v>2797</v>
      </c>
      <c r="D755" s="9" t="s">
        <v>2798</v>
      </c>
      <c r="E755" s="10" t="str">
        <f>HYPERLINK("https://twitter.com/MoufarrejRose/status/1065386436889903104","1065386436889903104")</f>
        <v>1065386436889903104</v>
      </c>
      <c r="F755" s="12"/>
      <c r="G755" s="12"/>
      <c r="H755" s="12"/>
      <c r="I755" s="13">
        <v>0</v>
      </c>
      <c r="J755" s="13">
        <v>1</v>
      </c>
      <c r="K755" s="14" t="str">
        <f t="shared" si="145"/>
        <v>Twitter for Android</v>
      </c>
      <c r="L755" s="13">
        <v>774</v>
      </c>
      <c r="M755" s="13">
        <v>4766</v>
      </c>
      <c r="N755" s="13">
        <v>0</v>
      </c>
      <c r="O755" s="15"/>
      <c r="P755" s="6">
        <v>43369.624745370369</v>
      </c>
      <c r="Q755" s="17" t="s">
        <v>2799</v>
      </c>
      <c r="R755" s="16" t="s">
        <v>2800</v>
      </c>
      <c r="S755" s="12"/>
      <c r="T755" s="12"/>
      <c r="U755" s="10" t="str">
        <f>HYPERLINK("https://pbs.twimg.com/profile_images/1045070668889493504/jVPC84Pi.jpg","View")</f>
        <v>View</v>
      </c>
    </row>
    <row r="756" spans="1:21" ht="51">
      <c r="A756" s="6">
        <v>43425.643472222218</v>
      </c>
      <c r="B756" s="7" t="str">
        <f>HYPERLINK("https://twitter.com/10abril1968","@10abril1968")</f>
        <v>@10abril1968</v>
      </c>
      <c r="C756" s="8" t="s">
        <v>2801</v>
      </c>
      <c r="D756" s="9" t="s">
        <v>2802</v>
      </c>
      <c r="E756" s="10" t="str">
        <f>HYPERLINK("https://twitter.com/10abril1968/status/1065386024803713024","1065386024803713024")</f>
        <v>1065386024803713024</v>
      </c>
      <c r="F756" s="11" t="s">
        <v>2194</v>
      </c>
      <c r="G756" s="12"/>
      <c r="H756" s="12"/>
      <c r="I756" s="13">
        <v>0</v>
      </c>
      <c r="J756" s="13">
        <v>0</v>
      </c>
      <c r="K756" s="14" t="str">
        <f t="shared" si="145"/>
        <v>Twitter for Android</v>
      </c>
      <c r="L756" s="13">
        <v>2389</v>
      </c>
      <c r="M756" s="13">
        <v>1801</v>
      </c>
      <c r="N756" s="13">
        <v>57</v>
      </c>
      <c r="O756" s="15"/>
      <c r="P756" s="6">
        <v>41202.526701388888</v>
      </c>
      <c r="Q756" s="17" t="s">
        <v>143</v>
      </c>
      <c r="R756" s="16" t="s">
        <v>2803</v>
      </c>
      <c r="S756" s="12"/>
      <c r="T756" s="12"/>
      <c r="U756" s="10" t="str">
        <f>HYPERLINK("https://pbs.twimg.com/profile_images/738452308288282625/q3GXvETo.jpg","View")</f>
        <v>View</v>
      </c>
    </row>
    <row r="757" spans="1:21" ht="30.6">
      <c r="A757" s="6">
        <v>43425.638310185182</v>
      </c>
      <c r="B757" s="7" t="str">
        <f>HYPERLINK("https://twitter.com/JESSENRIQUEGME5","@JESSENRIQUEGME5")</f>
        <v>@JESSENRIQUEGME5</v>
      </c>
      <c r="C757" s="8" t="s">
        <v>2804</v>
      </c>
      <c r="D757" s="9" t="s">
        <v>2805</v>
      </c>
      <c r="E757" s="10" t="str">
        <f>HYPERLINK("https://twitter.com/JESSENRIQUEGME5/status/1065384150960676865","1065384150960676865")</f>
        <v>1065384150960676865</v>
      </c>
      <c r="F757" s="12"/>
      <c r="G757" s="12"/>
      <c r="H757" s="12"/>
      <c r="I757" s="13">
        <v>0</v>
      </c>
      <c r="J757" s="13">
        <v>0</v>
      </c>
      <c r="K757" s="14" t="str">
        <f t="shared" si="145"/>
        <v>Twitter for Android</v>
      </c>
      <c r="L757" s="13">
        <v>20</v>
      </c>
      <c r="M757" s="13">
        <v>156</v>
      </c>
      <c r="N757" s="13">
        <v>0</v>
      </c>
      <c r="O757" s="15"/>
      <c r="P757" s="6">
        <v>43121.244884259257</v>
      </c>
      <c r="Q757" s="17" t="s">
        <v>2806</v>
      </c>
      <c r="R757" s="16" t="s">
        <v>2807</v>
      </c>
      <c r="S757" s="12"/>
      <c r="T757" s="12"/>
      <c r="U757" s="10" t="str">
        <f>HYPERLINK("https://pbs.twimg.com/profile_images/980961890988888064/4phUXXXl.jpg","View")</f>
        <v>View</v>
      </c>
    </row>
    <row r="758" spans="1:21" ht="40.799999999999997">
      <c r="A758" s="6">
        <v>43425.637546296297</v>
      </c>
      <c r="B758" s="7" t="str">
        <f>HYPERLINK("https://twitter.com/CecilioCastro","@CecilioCastro")</f>
        <v>@CecilioCastro</v>
      </c>
      <c r="C758" s="8" t="s">
        <v>2809</v>
      </c>
      <c r="D758" s="9" t="s">
        <v>245</v>
      </c>
      <c r="E758" s="10" t="str">
        <f>HYPERLINK("https://twitter.com/CecilioCastro/status/1065383877424889856","1065383877424889856")</f>
        <v>1065383877424889856</v>
      </c>
      <c r="F758" s="11" t="s">
        <v>2813</v>
      </c>
      <c r="G758" s="12"/>
      <c r="H758" s="12"/>
      <c r="I758" s="13">
        <v>0</v>
      </c>
      <c r="J758" s="13">
        <v>0</v>
      </c>
      <c r="K758" s="14" t="str">
        <f>HYPERLINK("http://nuzzel.com/","Nuzzel")</f>
        <v>Nuzzel</v>
      </c>
      <c r="L758" s="13">
        <v>12761</v>
      </c>
      <c r="M758" s="13">
        <v>13343</v>
      </c>
      <c r="N758" s="13">
        <v>154</v>
      </c>
      <c r="O758" s="15"/>
      <c r="P758" s="6">
        <v>40830.480543981481</v>
      </c>
      <c r="Q758" s="17" t="s">
        <v>2814</v>
      </c>
      <c r="R758" s="16" t="s">
        <v>2815</v>
      </c>
      <c r="S758" s="11" t="s">
        <v>2816</v>
      </c>
      <c r="T758" s="12"/>
      <c r="U758" s="10" t="str">
        <f>HYPERLINK("https://pbs.twimg.com/profile_images/1033024985697267712/2ldOzQJi.jpg","View")</f>
        <v>View</v>
      </c>
    </row>
    <row r="759" spans="1:21" ht="40.799999999999997">
      <c r="A759" s="6">
        <v>43425.637048611112</v>
      </c>
      <c r="B759" s="7" t="str">
        <f>HYPERLINK("https://twitter.com/joseleana5461","@joseleana5461")</f>
        <v>@joseleana5461</v>
      </c>
      <c r="C759" s="8" t="s">
        <v>2817</v>
      </c>
      <c r="D759" s="9" t="s">
        <v>2818</v>
      </c>
      <c r="E759" s="10" t="str">
        <f>HYPERLINK("https://twitter.com/joseleana5461/status/1065383694981054467","1065383694981054467")</f>
        <v>1065383694981054467</v>
      </c>
      <c r="F759" s="17" t="s">
        <v>2819</v>
      </c>
      <c r="G759" s="12"/>
      <c r="H759" s="12"/>
      <c r="I759" s="13">
        <v>0</v>
      </c>
      <c r="J759" s="13">
        <v>0</v>
      </c>
      <c r="K759" s="14" t="str">
        <f t="shared" ref="K759:K765" si="146">HYPERLINK("http://twitter.com/download/android","Twitter for Android")</f>
        <v>Twitter for Android</v>
      </c>
      <c r="L759" s="13">
        <v>68</v>
      </c>
      <c r="M759" s="13">
        <v>157</v>
      </c>
      <c r="N759" s="13">
        <v>0</v>
      </c>
      <c r="O759" s="15"/>
      <c r="P759" s="6">
        <v>42231.22657407407</v>
      </c>
      <c r="Q759" s="12"/>
      <c r="R759" s="18"/>
      <c r="S759" s="12"/>
      <c r="T759" s="12"/>
      <c r="U759" s="10" t="str">
        <f>HYPERLINK("https://pbs.twimg.com/profile_images/976638684358422533/OQOuU0i6.jpg","View")</f>
        <v>View</v>
      </c>
    </row>
    <row r="760" spans="1:21" ht="30.6">
      <c r="A760" s="6">
        <v>43425.63559027778</v>
      </c>
      <c r="B760" s="7" t="str">
        <f>HYPERLINK("https://twitter.com/pau73cat","@pau73cat")</f>
        <v>@pau73cat</v>
      </c>
      <c r="C760" s="8" t="s">
        <v>2820</v>
      </c>
      <c r="D760" s="9" t="s">
        <v>2821</v>
      </c>
      <c r="E760" s="10" t="str">
        <f>HYPERLINK("https://twitter.com/pau73cat/status/1065383168809816066","1065383168809816066")</f>
        <v>1065383168809816066</v>
      </c>
      <c r="F760" s="11" t="s">
        <v>2822</v>
      </c>
      <c r="G760" s="12"/>
      <c r="H760" s="12"/>
      <c r="I760" s="13">
        <v>0</v>
      </c>
      <c r="J760" s="13">
        <v>0</v>
      </c>
      <c r="K760" s="14" t="str">
        <f t="shared" si="146"/>
        <v>Twitter for Android</v>
      </c>
      <c r="L760" s="13">
        <v>2746</v>
      </c>
      <c r="M760" s="13">
        <v>2502</v>
      </c>
      <c r="N760" s="13">
        <v>61</v>
      </c>
      <c r="O760" s="15"/>
      <c r="P760" s="6">
        <v>40284.1253125</v>
      </c>
      <c r="Q760" s="17" t="s">
        <v>2824</v>
      </c>
      <c r="R760" s="16" t="s">
        <v>2825</v>
      </c>
      <c r="S760" s="12"/>
      <c r="T760" s="12"/>
      <c r="U760" s="10" t="str">
        <f>HYPERLINK("https://pbs.twimg.com/profile_images/1001813697940029440/-8uRZu8P.jpg","View")</f>
        <v>View</v>
      </c>
    </row>
    <row r="761" spans="1:21" ht="40.799999999999997">
      <c r="A761" s="6">
        <v>43425.631597222222</v>
      </c>
      <c r="B761" s="7" t="str">
        <f>HYPERLINK("https://twitter.com/loscarnaless","@loscarnaless")</f>
        <v>@loscarnaless</v>
      </c>
      <c r="C761" s="8" t="s">
        <v>2808</v>
      </c>
      <c r="D761" s="9" t="s">
        <v>2826</v>
      </c>
      <c r="E761" s="10" t="str">
        <f>HYPERLINK("https://twitter.com/loscarnaless/status/1065381720957087744","1065381720957087744")</f>
        <v>1065381720957087744</v>
      </c>
      <c r="F761" s="11" t="s">
        <v>2219</v>
      </c>
      <c r="G761" s="12"/>
      <c r="H761" s="12"/>
      <c r="I761" s="13">
        <v>145</v>
      </c>
      <c r="J761" s="13">
        <v>116</v>
      </c>
      <c r="K761" s="14" t="str">
        <f t="shared" si="146"/>
        <v>Twitter for Android</v>
      </c>
      <c r="L761" s="13">
        <v>12273</v>
      </c>
      <c r="M761" s="13">
        <v>9492</v>
      </c>
      <c r="N761" s="13">
        <v>39</v>
      </c>
      <c r="O761" s="15"/>
      <c r="P761" s="6">
        <v>42089.525393518517</v>
      </c>
      <c r="Q761" s="17" t="s">
        <v>2810</v>
      </c>
      <c r="R761" s="16" t="s">
        <v>2811</v>
      </c>
      <c r="S761" s="11" t="s">
        <v>2812</v>
      </c>
      <c r="T761" s="12"/>
      <c r="U761" s="10" t="str">
        <f>HYPERLINK("https://pbs.twimg.com/profile_images/581179444087402496/Jdigrb5U.jpg","View")</f>
        <v>View</v>
      </c>
    </row>
    <row r="762" spans="1:21" ht="61.2">
      <c r="A762" s="6">
        <v>43425.628148148149</v>
      </c>
      <c r="B762" s="7" t="str">
        <f>HYPERLINK("https://twitter.com/curandero_el","@curandero_el")</f>
        <v>@curandero_el</v>
      </c>
      <c r="C762" s="8" t="s">
        <v>2829</v>
      </c>
      <c r="D762" s="9" t="s">
        <v>2830</v>
      </c>
      <c r="E762" s="10" t="str">
        <f>HYPERLINK("https://twitter.com/curandero_el/status/1065380470379163648","1065380470379163648")</f>
        <v>1065380470379163648</v>
      </c>
      <c r="F762" s="11" t="s">
        <v>2194</v>
      </c>
      <c r="G762" s="12"/>
      <c r="H762" s="12"/>
      <c r="I762" s="13">
        <v>0</v>
      </c>
      <c r="J762" s="13">
        <v>0</v>
      </c>
      <c r="K762" s="14" t="str">
        <f t="shared" si="146"/>
        <v>Twitter for Android</v>
      </c>
      <c r="L762" s="13">
        <v>145</v>
      </c>
      <c r="M762" s="13">
        <v>133</v>
      </c>
      <c r="N762" s="13">
        <v>0</v>
      </c>
      <c r="O762" s="15"/>
      <c r="P762" s="6">
        <v>43280.55878472222</v>
      </c>
      <c r="Q762" s="12"/>
      <c r="R762" s="18"/>
      <c r="S762" s="12"/>
      <c r="T762" s="12"/>
      <c r="U762" s="10" t="str">
        <f>HYPERLINK("https://pbs.twimg.com/profile_images/1013441161426620417/_cn8F2Tu.jpg","View")</f>
        <v>View</v>
      </c>
    </row>
    <row r="763" spans="1:21" ht="40.799999999999997">
      <c r="A763" s="6">
        <v>43425.626388888893</v>
      </c>
      <c r="B763" s="7" t="str">
        <f>HYPERLINK("https://twitter.com/xockes","@xockes")</f>
        <v>@xockes</v>
      </c>
      <c r="C763" s="8" t="s">
        <v>2832</v>
      </c>
      <c r="D763" s="9" t="s">
        <v>2833</v>
      </c>
      <c r="E763" s="10" t="str">
        <f>HYPERLINK("https://twitter.com/xockes/status/1065379834476544001","1065379834476544001")</f>
        <v>1065379834476544001</v>
      </c>
      <c r="F763" s="11" t="s">
        <v>2194</v>
      </c>
      <c r="G763" s="12"/>
      <c r="H763" s="12"/>
      <c r="I763" s="13">
        <v>1</v>
      </c>
      <c r="J763" s="13">
        <v>0</v>
      </c>
      <c r="K763" s="14" t="str">
        <f t="shared" si="146"/>
        <v>Twitter for Android</v>
      </c>
      <c r="L763" s="13">
        <v>574</v>
      </c>
      <c r="M763" s="13">
        <v>1544</v>
      </c>
      <c r="N763" s="13">
        <v>5</v>
      </c>
      <c r="O763" s="15"/>
      <c r="P763" s="6">
        <v>40506.054178240738</v>
      </c>
      <c r="Q763" s="12"/>
      <c r="R763" s="16" t="s">
        <v>2835</v>
      </c>
      <c r="S763" s="12"/>
      <c r="T763" s="12"/>
      <c r="U763" s="10" t="str">
        <f>HYPERLINK("https://pbs.twimg.com/profile_images/1011660759972147200/i_Furn7_.jpg","View")</f>
        <v>View</v>
      </c>
    </row>
    <row r="764" spans="1:21" ht="61.2">
      <c r="A764" s="6">
        <v>43425.625625000001</v>
      </c>
      <c r="B764" s="7" t="str">
        <f>HYPERLINK("https://twitter.com/Duelelab","@Duelelab")</f>
        <v>@Duelelab</v>
      </c>
      <c r="C764" s="8" t="s">
        <v>2836</v>
      </c>
      <c r="D764" s="9" t="s">
        <v>2837</v>
      </c>
      <c r="E764" s="10" t="str">
        <f>HYPERLINK("https://twitter.com/Duelelab/status/1065379557283373057","1065379557283373057")</f>
        <v>1065379557283373057</v>
      </c>
      <c r="F764" s="17" t="s">
        <v>618</v>
      </c>
      <c r="G764" s="12"/>
      <c r="H764" s="12"/>
      <c r="I764" s="13">
        <v>7</v>
      </c>
      <c r="J764" s="13">
        <v>6</v>
      </c>
      <c r="K764" s="14" t="str">
        <f t="shared" si="146"/>
        <v>Twitter for Android</v>
      </c>
      <c r="L764" s="13">
        <v>10113</v>
      </c>
      <c r="M764" s="13">
        <v>3422</v>
      </c>
      <c r="N764" s="13">
        <v>102</v>
      </c>
      <c r="O764" s="15"/>
      <c r="P764" s="6">
        <v>41830.389004629629</v>
      </c>
      <c r="Q764" s="12"/>
      <c r="R764" s="16" t="s">
        <v>2838</v>
      </c>
      <c r="S764" s="12"/>
      <c r="T764" s="12"/>
      <c r="U764" s="10" t="str">
        <f>HYPERLINK("https://pbs.twimg.com/profile_images/914050990097223680/V25T08jL.jpg","View")</f>
        <v>View</v>
      </c>
    </row>
    <row r="765" spans="1:21" ht="20.399999999999999">
      <c r="A765" s="6">
        <v>43425.617372685185</v>
      </c>
      <c r="B765" s="7" t="str">
        <f>HYPERLINK("https://twitter.com/CEliaSJ__","@CEliaSJ__")</f>
        <v>@CEliaSJ__</v>
      </c>
      <c r="C765" s="8" t="s">
        <v>2839</v>
      </c>
      <c r="D765" s="9" t="s">
        <v>2840</v>
      </c>
      <c r="E765" s="10" t="str">
        <f>HYPERLINK("https://twitter.com/CEliaSJ__/status/1065376566690091019","1065376566690091019")</f>
        <v>1065376566690091019</v>
      </c>
      <c r="F765" s="12"/>
      <c r="G765" s="12"/>
      <c r="H765" s="12"/>
      <c r="I765" s="13">
        <v>0</v>
      </c>
      <c r="J765" s="13">
        <v>0</v>
      </c>
      <c r="K765" s="14" t="str">
        <f t="shared" si="146"/>
        <v>Twitter for Android</v>
      </c>
      <c r="L765" s="13">
        <v>417</v>
      </c>
      <c r="M765" s="13">
        <v>827</v>
      </c>
      <c r="N765" s="13">
        <v>1</v>
      </c>
      <c r="O765" s="15"/>
      <c r="P765" s="6">
        <v>40534.48501157407</v>
      </c>
      <c r="Q765" s="17" t="s">
        <v>1246</v>
      </c>
      <c r="R765" s="16" t="s">
        <v>2841</v>
      </c>
      <c r="S765" s="12"/>
      <c r="T765" s="12"/>
      <c r="U765" s="10" t="str">
        <f>HYPERLINK("https://pbs.twimg.com/profile_images/1041683429648224258/Z2Czc5f5.jpg","View")</f>
        <v>View</v>
      </c>
    </row>
    <row r="766" spans="1:21" ht="51">
      <c r="A766" s="6">
        <v>43425.615879629629</v>
      </c>
      <c r="B766" s="7" t="str">
        <f>HYPERLINK("https://twitter.com/manuel_llamas","@manuel_llamas")</f>
        <v>@manuel_llamas</v>
      </c>
      <c r="C766" s="8" t="s">
        <v>2842</v>
      </c>
      <c r="D766" s="9" t="s">
        <v>2843</v>
      </c>
      <c r="E766" s="10" t="str">
        <f>HYPERLINK("https://twitter.com/manuel_llamas/status/1065376024857374721","1065376024857374721")</f>
        <v>1065376024857374721</v>
      </c>
      <c r="F766" s="11" t="s">
        <v>2194</v>
      </c>
      <c r="G766" s="12"/>
      <c r="H766" s="12"/>
      <c r="I766" s="13">
        <v>25</v>
      </c>
      <c r="J766" s="13">
        <v>22</v>
      </c>
      <c r="K766" s="14" t="str">
        <f>HYPERLINK("http://twitter.com","Twitter Web Client")</f>
        <v>Twitter Web Client</v>
      </c>
      <c r="L766" s="13">
        <v>30912</v>
      </c>
      <c r="M766" s="13">
        <v>369</v>
      </c>
      <c r="N766" s="13">
        <v>689</v>
      </c>
      <c r="O766" s="15"/>
      <c r="P766" s="6">
        <v>40079.439305555556</v>
      </c>
      <c r="Q766" s="17" t="s">
        <v>29</v>
      </c>
      <c r="R766" s="16" t="s">
        <v>2844</v>
      </c>
      <c r="S766" s="11" t="s">
        <v>2845</v>
      </c>
      <c r="T766" s="12"/>
      <c r="U766" s="10" t="str">
        <f>HYPERLINK("https://pbs.twimg.com/profile_images/1278365489/fotoperfil.jpg","View")</f>
        <v>View</v>
      </c>
    </row>
    <row r="767" spans="1:21" ht="40.799999999999997">
      <c r="A767" s="6">
        <v>43425.610798611116</v>
      </c>
      <c r="B767" s="7" t="str">
        <f>HYPERLINK("https://twitter.com/psolidaridad","@psolidaridad")</f>
        <v>@psolidaridad</v>
      </c>
      <c r="C767" s="8" t="s">
        <v>2846</v>
      </c>
      <c r="D767" s="9" t="s">
        <v>2847</v>
      </c>
      <c r="E767" s="10" t="str">
        <f>HYPERLINK("https://twitter.com/psolidaridad/status/1065374182777724928","1065374182777724928")</f>
        <v>1065374182777724928</v>
      </c>
      <c r="F767" s="11" t="s">
        <v>2194</v>
      </c>
      <c r="G767" s="12"/>
      <c r="H767" s="12"/>
      <c r="I767" s="13">
        <v>1</v>
      </c>
      <c r="J767" s="13">
        <v>0</v>
      </c>
      <c r="K767" s="14" t="str">
        <f>HYPERLINK("http://twitter.com/download/android","Twitter for Android")</f>
        <v>Twitter for Android</v>
      </c>
      <c r="L767" s="13">
        <v>1542</v>
      </c>
      <c r="M767" s="13">
        <v>4648</v>
      </c>
      <c r="N767" s="13">
        <v>1</v>
      </c>
      <c r="O767" s="15"/>
      <c r="P767" s="6">
        <v>41803.127372685187</v>
      </c>
      <c r="Q767" s="12"/>
      <c r="R767" s="16" t="s">
        <v>2848</v>
      </c>
      <c r="S767" s="12"/>
      <c r="T767" s="12"/>
      <c r="U767" s="10" t="str">
        <f>HYPERLINK("https://pbs.twimg.com/profile_images/1030394358397317120/oQ0F2vnz.jpg","View")</f>
        <v>View</v>
      </c>
    </row>
    <row r="768" spans="1:21" ht="71.400000000000006">
      <c r="A768" s="6">
        <v>43425.605891203704</v>
      </c>
      <c r="B768" s="7" t="str">
        <f>HYPERLINK("https://twitter.com/oyd_y","@oyd_y")</f>
        <v>@oyd_y</v>
      </c>
      <c r="C768" s="8" t="s">
        <v>2849</v>
      </c>
      <c r="D768" s="9" t="s">
        <v>2850</v>
      </c>
      <c r="E768" s="10" t="str">
        <f>HYPERLINK("https://twitter.com/oyd_y/status/1065372405533683712","1065372405533683712")</f>
        <v>1065372405533683712</v>
      </c>
      <c r="F768" s="17" t="s">
        <v>2851</v>
      </c>
      <c r="G768" s="12"/>
      <c r="H768" s="12"/>
      <c r="I768" s="13">
        <v>1</v>
      </c>
      <c r="J768" s="13">
        <v>0</v>
      </c>
      <c r="K768" s="14" t="str">
        <f>HYPERLINK("http://twitter.com/#!/download/ipad","Twitter for iPad")</f>
        <v>Twitter for iPad</v>
      </c>
      <c r="L768" s="13">
        <v>208</v>
      </c>
      <c r="M768" s="13">
        <v>456</v>
      </c>
      <c r="N768" s="13">
        <v>5</v>
      </c>
      <c r="O768" s="15"/>
      <c r="P768" s="6">
        <v>42931.330555555556</v>
      </c>
      <c r="Q768" s="17" t="s">
        <v>550</v>
      </c>
      <c r="R768" s="16" t="s">
        <v>2852</v>
      </c>
      <c r="S768" s="11" t="s">
        <v>2853</v>
      </c>
      <c r="T768" s="12"/>
      <c r="U768" s="10" t="str">
        <f>HYPERLINK("https://pbs.twimg.com/profile_images/990230336578695168/fZqhg4_G.jpg","View")</f>
        <v>View</v>
      </c>
    </row>
    <row r="769" spans="1:21" ht="51">
      <c r="A769" s="6">
        <v>43425.603298611109</v>
      </c>
      <c r="B769" s="7" t="str">
        <f>HYPERLINK("https://twitter.com/ctxt_es","@ctxt_es")</f>
        <v>@ctxt_es</v>
      </c>
      <c r="C769" s="8" t="s">
        <v>285</v>
      </c>
      <c r="D769" s="9" t="s">
        <v>2854</v>
      </c>
      <c r="E769" s="10" t="str">
        <f>HYPERLINK("https://twitter.com/ctxt_es/status/1065371462691885056","1065371462691885056")</f>
        <v>1065371462691885056</v>
      </c>
      <c r="F769" s="17" t="s">
        <v>1402</v>
      </c>
      <c r="G769" s="12"/>
      <c r="H769" s="12"/>
      <c r="I769" s="13">
        <v>1</v>
      </c>
      <c r="J769" s="13">
        <v>3</v>
      </c>
      <c r="K769" s="14" t="str">
        <f>HYPERLINK("http://twitter.com","Twitter Web Client")</f>
        <v>Twitter Web Client</v>
      </c>
      <c r="L769" s="13">
        <v>112739</v>
      </c>
      <c r="M769" s="13">
        <v>4288</v>
      </c>
      <c r="N769" s="13">
        <v>2463</v>
      </c>
      <c r="O769" s="15"/>
      <c r="P769" s="6">
        <v>41981.199641203704</v>
      </c>
      <c r="Q769" s="17" t="s">
        <v>143</v>
      </c>
      <c r="R769" s="16" t="s">
        <v>288</v>
      </c>
      <c r="S769" s="11" t="s">
        <v>289</v>
      </c>
      <c r="T769" s="12"/>
      <c r="U769" s="10" t="str">
        <f>HYPERLINK("https://pbs.twimg.com/profile_images/1062014494296150023/j5taTHQ1.jpg","View")</f>
        <v>View</v>
      </c>
    </row>
    <row r="770" spans="1:21" ht="30.6">
      <c r="A770" s="6">
        <v>43425.601875</v>
      </c>
      <c r="B770" s="7" t="str">
        <f>HYPERLINK("https://twitter.com/silvercius","@silvercius")</f>
        <v>@silvercius</v>
      </c>
      <c r="C770" s="8" t="s">
        <v>2855</v>
      </c>
      <c r="D770" s="9" t="s">
        <v>2856</v>
      </c>
      <c r="E770" s="10" t="str">
        <f>HYPERLINK("https://twitter.com/silvercius/status/1065370947790737413","1065370947790737413")</f>
        <v>1065370947790737413</v>
      </c>
      <c r="F770" s="12"/>
      <c r="G770" s="12"/>
      <c r="H770" s="12"/>
      <c r="I770" s="13">
        <v>2</v>
      </c>
      <c r="J770" s="13">
        <v>7</v>
      </c>
      <c r="K770" s="14" t="str">
        <f>HYPERLINK("http://twitter.com/download/android","Twitter for Android")</f>
        <v>Twitter for Android</v>
      </c>
      <c r="L770" s="13">
        <v>1738</v>
      </c>
      <c r="M770" s="13">
        <v>1024</v>
      </c>
      <c r="N770" s="13">
        <v>54</v>
      </c>
      <c r="O770" s="15"/>
      <c r="P770" s="6">
        <v>41894.50135416667</v>
      </c>
      <c r="Q770" s="12"/>
      <c r="R770" s="16" t="s">
        <v>2857</v>
      </c>
      <c r="S770" s="12"/>
      <c r="T770" s="12"/>
      <c r="U770" s="10" t="str">
        <f>HYPERLINK("https://pbs.twimg.com/profile_images/936930766637936640/eGY-OvKr.jpg","View")</f>
        <v>View</v>
      </c>
    </row>
    <row r="771" spans="1:21" ht="30.6">
      <c r="A771" s="6">
        <v>43425.598692129628</v>
      </c>
      <c r="B771" s="7" t="str">
        <f>HYPERLINK("https://twitter.com/NNGGVejer","@NNGGVejer")</f>
        <v>@NNGGVejer</v>
      </c>
      <c r="C771" s="8" t="s">
        <v>2858</v>
      </c>
      <c r="D771" s="9" t="s">
        <v>2859</v>
      </c>
      <c r="E771" s="10" t="str">
        <f>HYPERLINK("https://twitter.com/NNGGVejer/status/1065369796974387201","1065369796974387201")</f>
        <v>1065369796974387201</v>
      </c>
      <c r="F771" s="11" t="s">
        <v>2860</v>
      </c>
      <c r="G771" s="12"/>
      <c r="H771" s="12"/>
      <c r="I771" s="13">
        <v>0</v>
      </c>
      <c r="J771" s="13">
        <v>0</v>
      </c>
      <c r="K771" s="14" t="str">
        <f>HYPERLINK("http://www.facebook.com/twitter","Facebook")</f>
        <v>Facebook</v>
      </c>
      <c r="L771" s="13">
        <v>351</v>
      </c>
      <c r="M771" s="13">
        <v>518</v>
      </c>
      <c r="N771" s="13">
        <v>0</v>
      </c>
      <c r="O771" s="15"/>
      <c r="P771" s="6">
        <v>41896.175694444442</v>
      </c>
      <c r="Q771" s="17" t="s">
        <v>2861</v>
      </c>
      <c r="R771" s="16" t="s">
        <v>2862</v>
      </c>
      <c r="S771" s="11" t="s">
        <v>2863</v>
      </c>
      <c r="T771" s="12"/>
      <c r="U771" s="10" t="str">
        <f>HYPERLINK("https://pbs.twimg.com/profile_images/866792623561998338/H4e-h2aj.jpg","View")</f>
        <v>View</v>
      </c>
    </row>
    <row r="772" spans="1:21" ht="51">
      <c r="A772" s="6">
        <v>43425.597337962958</v>
      </c>
      <c r="B772" s="7" t="str">
        <f>HYPERLINK("https://twitter.com/rosamariaartal","@rosamariaartal")</f>
        <v>@rosamariaartal</v>
      </c>
      <c r="C772" s="8" t="s">
        <v>1037</v>
      </c>
      <c r="D772" s="9" t="s">
        <v>2864</v>
      </c>
      <c r="E772" s="10" t="str">
        <f>HYPERLINK("https://twitter.com/rosamariaartal/status/1065369302893821957","1065369302893821957")</f>
        <v>1065369302893821957</v>
      </c>
      <c r="F772" s="11" t="s">
        <v>2865</v>
      </c>
      <c r="G772" s="11" t="s">
        <v>2866</v>
      </c>
      <c r="H772" s="12"/>
      <c r="I772" s="13">
        <v>11</v>
      </c>
      <c r="J772" s="13">
        <v>12</v>
      </c>
      <c r="K772" s="14" t="str">
        <f t="shared" ref="K772:K776" si="147">HYPERLINK("http://twitter.com/download/android","Twitter for Android")</f>
        <v>Twitter for Android</v>
      </c>
      <c r="L772" s="13">
        <v>103731</v>
      </c>
      <c r="M772" s="13">
        <v>3006</v>
      </c>
      <c r="N772" s="13">
        <v>2702</v>
      </c>
      <c r="O772" s="15"/>
      <c r="P772" s="6">
        <v>40094.444687499999</v>
      </c>
      <c r="Q772" s="17" t="s">
        <v>203</v>
      </c>
      <c r="R772" s="16" t="s">
        <v>1039</v>
      </c>
      <c r="S772" s="11" t="s">
        <v>1040</v>
      </c>
      <c r="T772" s="12"/>
      <c r="U772" s="10" t="str">
        <f>HYPERLINK("https://pbs.twimg.com/profile_images/780888265238974464/fOR4WuD5.jpg","View")</f>
        <v>View</v>
      </c>
    </row>
    <row r="773" spans="1:21" ht="51">
      <c r="A773" s="6">
        <v>43425.597164351857</v>
      </c>
      <c r="B773" s="7" t="str">
        <f>HYPERLINK("https://twitter.com/OsquirrinDj","@OsquirrinDj")</f>
        <v>@OsquirrinDj</v>
      </c>
      <c r="C773" s="8" t="s">
        <v>2867</v>
      </c>
      <c r="D773" s="9" t="s">
        <v>2868</v>
      </c>
      <c r="E773" s="10" t="str">
        <f>HYPERLINK("https://twitter.com/OsquirrinDj/status/1065369241459851264","1065369241459851264")</f>
        <v>1065369241459851264</v>
      </c>
      <c r="F773" s="11" t="s">
        <v>2194</v>
      </c>
      <c r="G773" s="12"/>
      <c r="H773" s="12"/>
      <c r="I773" s="13">
        <v>5</v>
      </c>
      <c r="J773" s="13">
        <v>3</v>
      </c>
      <c r="K773" s="14" t="str">
        <f t="shared" si="147"/>
        <v>Twitter for Android</v>
      </c>
      <c r="L773" s="13">
        <v>219</v>
      </c>
      <c r="M773" s="13">
        <v>225</v>
      </c>
      <c r="N773" s="13">
        <v>1</v>
      </c>
      <c r="O773" s="15"/>
      <c r="P773" s="6">
        <v>42872.174293981487</v>
      </c>
      <c r="Q773" s="17" t="s">
        <v>2869</v>
      </c>
      <c r="R773" s="16" t="s">
        <v>2870</v>
      </c>
      <c r="S773" s="12"/>
      <c r="T773" s="12"/>
      <c r="U773" s="10" t="str">
        <f>HYPERLINK("https://pbs.twimg.com/profile_images/1056283483407085568/z3MSKfvm.jpg","View")</f>
        <v>View</v>
      </c>
    </row>
    <row r="774" spans="1:21" ht="20.399999999999999">
      <c r="A774" s="6">
        <v>43425.59542824074</v>
      </c>
      <c r="B774" s="7" t="str">
        <f>HYPERLINK("https://twitter.com/mosquitoserlik","@mosquitoserlik")</f>
        <v>@mosquitoserlik</v>
      </c>
      <c r="C774" s="8" t="s">
        <v>2871</v>
      </c>
      <c r="D774" s="9" t="s">
        <v>2872</v>
      </c>
      <c r="E774" s="10" t="str">
        <f>HYPERLINK("https://twitter.com/mosquitoserlik/status/1065368611131400193","1065368611131400193")</f>
        <v>1065368611131400193</v>
      </c>
      <c r="F774" s="12"/>
      <c r="G774" s="12"/>
      <c r="H774" s="12"/>
      <c r="I774" s="13">
        <v>15</v>
      </c>
      <c r="J774" s="13">
        <v>207</v>
      </c>
      <c r="K774" s="14" t="str">
        <f t="shared" si="147"/>
        <v>Twitter for Android</v>
      </c>
      <c r="L774" s="13">
        <v>6293</v>
      </c>
      <c r="M774" s="13">
        <v>4598</v>
      </c>
      <c r="N774" s="13">
        <v>57</v>
      </c>
      <c r="O774" s="15"/>
      <c r="P774" s="6">
        <v>40384.244155092594</v>
      </c>
      <c r="Q774" s="17" t="s">
        <v>2873</v>
      </c>
      <c r="R774" s="16" t="s">
        <v>2874</v>
      </c>
      <c r="S774" s="11" t="s">
        <v>2875</v>
      </c>
      <c r="T774" s="12"/>
      <c r="U774" s="10" t="str">
        <f>HYPERLINK("https://pbs.twimg.com/profile_images/991375446557233153/6fnOraZ2.jpg","View")</f>
        <v>View</v>
      </c>
    </row>
    <row r="775" spans="1:21" ht="40.799999999999997">
      <c r="A775" s="6">
        <v>43425.587349537032</v>
      </c>
      <c r="B775" s="7" t="str">
        <f>HYPERLINK("https://twitter.com/Paradonovalia","@Paradonovalia")</f>
        <v>@Paradonovalia</v>
      </c>
      <c r="C775" s="8" t="s">
        <v>2876</v>
      </c>
      <c r="D775" s="9" t="s">
        <v>2877</v>
      </c>
      <c r="E775" s="10" t="str">
        <f>HYPERLINK("https://twitter.com/Paradonovalia/status/1065365685910597632","1065365685910597632")</f>
        <v>1065365685910597632</v>
      </c>
      <c r="F775" s="11" t="s">
        <v>2177</v>
      </c>
      <c r="G775" s="11" t="s">
        <v>2178</v>
      </c>
      <c r="H775" s="12"/>
      <c r="I775" s="13">
        <v>0</v>
      </c>
      <c r="J775" s="13">
        <v>1</v>
      </c>
      <c r="K775" s="14" t="str">
        <f t="shared" si="147"/>
        <v>Twitter for Android</v>
      </c>
      <c r="L775" s="13">
        <v>5743</v>
      </c>
      <c r="M775" s="13">
        <v>520</v>
      </c>
      <c r="N775" s="13">
        <v>98</v>
      </c>
      <c r="O775" s="15"/>
      <c r="P775" s="6">
        <v>40718.869930555556</v>
      </c>
      <c r="Q775" s="17" t="s">
        <v>2878</v>
      </c>
      <c r="R775" s="16" t="s">
        <v>2879</v>
      </c>
      <c r="S775" s="11" t="s">
        <v>2880</v>
      </c>
      <c r="T775" s="12"/>
      <c r="U775" s="10" t="str">
        <f>HYPERLINK("https://pbs.twimg.com/profile_images/949718974652133377/iA7eYSZa.jpg","View")</f>
        <v>View</v>
      </c>
    </row>
    <row r="776" spans="1:21" ht="20.399999999999999">
      <c r="A776" s="6">
        <v>43425.586689814816</v>
      </c>
      <c r="B776" s="7" t="str">
        <f>HYPERLINK("https://twitter.com/marujonazo","@marujonazo")</f>
        <v>@marujonazo</v>
      </c>
      <c r="C776" s="8" t="s">
        <v>2881</v>
      </c>
      <c r="D776" s="9" t="s">
        <v>2882</v>
      </c>
      <c r="E776" s="10" t="str">
        <f>HYPERLINK("https://twitter.com/marujonazo/status/1065365446726230016","1065365446726230016")</f>
        <v>1065365446726230016</v>
      </c>
      <c r="F776" s="11" t="s">
        <v>2194</v>
      </c>
      <c r="G776" s="12"/>
      <c r="H776" s="12"/>
      <c r="I776" s="13">
        <v>0</v>
      </c>
      <c r="J776" s="13">
        <v>0</v>
      </c>
      <c r="K776" s="14" t="str">
        <f t="shared" si="147"/>
        <v>Twitter for Android</v>
      </c>
      <c r="L776" s="13">
        <v>190</v>
      </c>
      <c r="M776" s="13">
        <v>213</v>
      </c>
      <c r="N776" s="13">
        <v>2</v>
      </c>
      <c r="O776" s="15"/>
      <c r="P776" s="6">
        <v>42621.579814814817</v>
      </c>
      <c r="Q776" s="17" t="s">
        <v>26</v>
      </c>
      <c r="R776" s="16" t="s">
        <v>2883</v>
      </c>
      <c r="S776" s="12"/>
      <c r="T776" s="12"/>
      <c r="U776" s="10" t="str">
        <f>HYPERLINK("https://pbs.twimg.com/profile_images/774565340294574084/3VG2S8PL.jpg","View")</f>
        <v>View</v>
      </c>
    </row>
    <row r="777" spans="1:21" ht="40.799999999999997">
      <c r="A777" s="6">
        <v>43425.579050925924</v>
      </c>
      <c r="B777" s="7" t="str">
        <f>HYPERLINK("https://twitter.com/scaramouche2013","@scaramouche2013")</f>
        <v>@scaramouche2013</v>
      </c>
      <c r="C777" s="8" t="s">
        <v>2884</v>
      </c>
      <c r="D777" s="9" t="s">
        <v>2885</v>
      </c>
      <c r="E777" s="10" t="str">
        <f>HYPERLINK("https://twitter.com/scaramouche2013/status/1065362678527508480","1065362678527508480")</f>
        <v>1065362678527508480</v>
      </c>
      <c r="F777" s="17" t="s">
        <v>2886</v>
      </c>
      <c r="G777" s="12"/>
      <c r="H777" s="12"/>
      <c r="I777" s="13">
        <v>0</v>
      </c>
      <c r="J777" s="13">
        <v>1</v>
      </c>
      <c r="K777" s="14" t="str">
        <f t="shared" ref="K777:K778" si="148">HYPERLINK("http://twitter.com","Twitter Web Client")</f>
        <v>Twitter Web Client</v>
      </c>
      <c r="L777" s="13">
        <v>1985</v>
      </c>
      <c r="M777" s="13">
        <v>1964</v>
      </c>
      <c r="N777" s="13">
        <v>37</v>
      </c>
      <c r="O777" s="15"/>
      <c r="P777" s="6">
        <v>41350.211354166662</v>
      </c>
      <c r="Q777" s="17" t="s">
        <v>2887</v>
      </c>
      <c r="R777" s="16" t="s">
        <v>2888</v>
      </c>
      <c r="S777" s="12"/>
      <c r="T777" s="12"/>
      <c r="U777" s="10" t="str">
        <f>HYPERLINK("https://pbs.twimg.com/profile_images/981712693290823682/0DqxEzmA.jpg","View")</f>
        <v>View</v>
      </c>
    </row>
    <row r="778" spans="1:21" ht="30.6">
      <c r="A778" s="6">
        <v>43425.577650462961</v>
      </c>
      <c r="B778" s="7" t="str">
        <f>HYPERLINK("https://twitter.com/luiskifriki","@luiskifriki")</f>
        <v>@luiskifriki</v>
      </c>
      <c r="C778" s="8" t="s">
        <v>2889</v>
      </c>
      <c r="D778" s="9" t="s">
        <v>2890</v>
      </c>
      <c r="E778" s="10" t="str">
        <f>HYPERLINK("https://twitter.com/luiskifriki/status/1065362171591303168","1065362171591303168")</f>
        <v>1065362171591303168</v>
      </c>
      <c r="F778" s="12"/>
      <c r="G778" s="11" t="s">
        <v>2891</v>
      </c>
      <c r="H778" s="12"/>
      <c r="I778" s="13">
        <v>0</v>
      </c>
      <c r="J778" s="13">
        <v>0</v>
      </c>
      <c r="K778" s="14" t="str">
        <f t="shared" si="148"/>
        <v>Twitter Web Client</v>
      </c>
      <c r="L778" s="13">
        <v>4057</v>
      </c>
      <c r="M778" s="13">
        <v>4049</v>
      </c>
      <c r="N778" s="13">
        <v>57</v>
      </c>
      <c r="O778" s="15"/>
      <c r="P778" s="6">
        <v>40289.468692129631</v>
      </c>
      <c r="Q778" s="17" t="s">
        <v>2892</v>
      </c>
      <c r="R778" s="16" t="s">
        <v>2893</v>
      </c>
      <c r="S778" s="12"/>
      <c r="T778" s="12"/>
      <c r="U778" s="10" t="str">
        <f>HYPERLINK("https://pbs.twimg.com/profile_images/885564345043886080/XhA_E5Ze.jpg","View")</f>
        <v>View</v>
      </c>
    </row>
    <row r="779" spans="1:21" ht="20.399999999999999">
      <c r="A779" s="6">
        <v>43425.575023148151</v>
      </c>
      <c r="B779" s="7" t="str">
        <f>HYPERLINK("https://twitter.com/latrincheraaudi","@latrincheraaudi")</f>
        <v>@latrincheraaudi</v>
      </c>
      <c r="C779" s="8" t="s">
        <v>2823</v>
      </c>
      <c r="D779" s="9" t="s">
        <v>2882</v>
      </c>
      <c r="E779" s="10" t="str">
        <f>HYPERLINK("https://twitter.com/latrincheraaudi/status/1065361216435036160","1065361216435036160")</f>
        <v>1065361216435036160</v>
      </c>
      <c r="F779" s="11" t="s">
        <v>2194</v>
      </c>
      <c r="G779" s="12"/>
      <c r="H779" s="12"/>
      <c r="I779" s="13">
        <v>0</v>
      </c>
      <c r="J779" s="13">
        <v>0</v>
      </c>
      <c r="K779" s="14" t="str">
        <f t="shared" ref="K779:K782" si="149">HYPERLINK("http://twitter.com/download/android","Twitter for Android")</f>
        <v>Twitter for Android</v>
      </c>
      <c r="L779" s="13">
        <v>2233</v>
      </c>
      <c r="M779" s="13">
        <v>1853</v>
      </c>
      <c r="N779" s="13">
        <v>25</v>
      </c>
      <c r="O779" s="15"/>
      <c r="P779" s="6">
        <v>40707.214282407411</v>
      </c>
      <c r="Q779" s="17" t="s">
        <v>2827</v>
      </c>
      <c r="R779" s="16" t="s">
        <v>2828</v>
      </c>
      <c r="S779" s="12"/>
      <c r="T779" s="12"/>
      <c r="U779" s="10" t="str">
        <f>HYPERLINK("https://pbs.twimg.com/profile_images/1701971782/fernando_posterizado.jpg","View")</f>
        <v>View</v>
      </c>
    </row>
    <row r="780" spans="1:21" ht="51">
      <c r="A780" s="6">
        <v>43425.573692129634</v>
      </c>
      <c r="B780" s="7" t="str">
        <f>HYPERLINK("https://twitter.com/ErnestoEkaizer","@ErnestoEkaizer")</f>
        <v>@ErnestoEkaizer</v>
      </c>
      <c r="C780" s="8" t="s">
        <v>2894</v>
      </c>
      <c r="D780" s="9" t="s">
        <v>2482</v>
      </c>
      <c r="E780" s="10" t="str">
        <f>HYPERLINK("https://twitter.com/ErnestoEkaizer/status/1065360735218409477","1065360735218409477")</f>
        <v>1065360735218409477</v>
      </c>
      <c r="F780" s="12"/>
      <c r="G780" s="12"/>
      <c r="H780" s="12"/>
      <c r="I780" s="13">
        <v>2673</v>
      </c>
      <c r="J780" s="13">
        <v>2767</v>
      </c>
      <c r="K780" s="14" t="str">
        <f t="shared" si="149"/>
        <v>Twitter for Android</v>
      </c>
      <c r="L780" s="13">
        <v>191443</v>
      </c>
      <c r="M780" s="13">
        <v>77</v>
      </c>
      <c r="N780" s="13">
        <v>1628</v>
      </c>
      <c r="O780" s="15"/>
      <c r="P780" s="6">
        <v>41926.504976851851</v>
      </c>
      <c r="Q780" s="17" t="s">
        <v>76</v>
      </c>
      <c r="R780" s="16" t="s">
        <v>2895</v>
      </c>
      <c r="S780" s="12"/>
      <c r="T780" s="12"/>
      <c r="U780" s="10" t="str">
        <f>HYPERLINK("https://pbs.twimg.com/profile_images/636954162723430400/5M4mqZzN.jpg","View")</f>
        <v>View</v>
      </c>
    </row>
    <row r="781" spans="1:21" ht="30.6">
      <c r="A781" s="6">
        <v>43425.572997685187</v>
      </c>
      <c r="B781" s="7" t="str">
        <f>HYPERLINK("https://twitter.com/DepWalking","@DepWalking")</f>
        <v>@DepWalking</v>
      </c>
      <c r="C781" s="8" t="s">
        <v>2896</v>
      </c>
      <c r="D781" s="9" t="s">
        <v>2897</v>
      </c>
      <c r="E781" s="10" t="str">
        <f>HYPERLINK("https://twitter.com/DepWalking/status/1065360482155053056","1065360482155053056")</f>
        <v>1065360482155053056</v>
      </c>
      <c r="F781" s="12"/>
      <c r="G781" s="12"/>
      <c r="H781" s="12"/>
      <c r="I781" s="13">
        <v>0</v>
      </c>
      <c r="J781" s="13">
        <v>0</v>
      </c>
      <c r="K781" s="14" t="str">
        <f t="shared" si="149"/>
        <v>Twitter for Android</v>
      </c>
      <c r="L781" s="13">
        <v>49</v>
      </c>
      <c r="M781" s="13">
        <v>128</v>
      </c>
      <c r="N781" s="13">
        <v>0</v>
      </c>
      <c r="O781" s="15"/>
      <c r="P781" s="6">
        <v>43224.353321759263</v>
      </c>
      <c r="Q781" s="12"/>
      <c r="R781" s="16" t="s">
        <v>2898</v>
      </c>
      <c r="S781" s="12"/>
      <c r="T781" s="12"/>
      <c r="U781" s="10" t="str">
        <f>HYPERLINK("https://pbs.twimg.com/profile_images/992511164566376449/XMy5OktL.jpg","View")</f>
        <v>View</v>
      </c>
    </row>
    <row r="782" spans="1:21" ht="51">
      <c r="A782" s="6">
        <v>43425.57267361111</v>
      </c>
      <c r="B782" s="7" t="str">
        <f>HYPERLINK("https://twitter.com/paranoiadedios","@paranoiadedios")</f>
        <v>@paranoiadedios</v>
      </c>
      <c r="C782" s="8" t="s">
        <v>2899</v>
      </c>
      <c r="D782" s="9" t="s">
        <v>2900</v>
      </c>
      <c r="E782" s="10" t="str">
        <f>HYPERLINK("https://twitter.com/paranoiadedios/status/1065360367222759426","1065360367222759426")</f>
        <v>1065360367222759426</v>
      </c>
      <c r="F782" s="11" t="s">
        <v>2194</v>
      </c>
      <c r="G782" s="12"/>
      <c r="H782" s="12"/>
      <c r="I782" s="13">
        <v>0</v>
      </c>
      <c r="J782" s="13">
        <v>0</v>
      </c>
      <c r="K782" s="14" t="str">
        <f t="shared" si="149"/>
        <v>Twitter for Android</v>
      </c>
      <c r="L782" s="13">
        <v>838</v>
      </c>
      <c r="M782" s="13">
        <v>1238</v>
      </c>
      <c r="N782" s="13">
        <v>1</v>
      </c>
      <c r="O782" s="15"/>
      <c r="P782" s="6">
        <v>43323.18813657407</v>
      </c>
      <c r="Q782" s="17" t="s">
        <v>2901</v>
      </c>
      <c r="R782" s="16" t="s">
        <v>2902</v>
      </c>
      <c r="S782" s="12"/>
      <c r="T782" s="12"/>
      <c r="U782" s="10" t="str">
        <f>HYPERLINK("https://pbs.twimg.com/profile_images/1032610388049842178/nnoI8ku1.jpg","View")</f>
        <v>View</v>
      </c>
    </row>
    <row r="783" spans="1:21" ht="30.6">
      <c r="A783" s="6">
        <v>43425.571226851855</v>
      </c>
      <c r="B783" s="7" t="str">
        <f>HYPERLINK("https://twitter.com/amanitadostias","@amanitadostias")</f>
        <v>@amanitadostias</v>
      </c>
      <c r="C783" s="8" t="s">
        <v>2903</v>
      </c>
      <c r="D783" s="9" t="s">
        <v>2904</v>
      </c>
      <c r="E783" s="10" t="str">
        <f>HYPERLINK("https://twitter.com/amanitadostias/status/1065359843161198592","1065359843161198592")</f>
        <v>1065359843161198592</v>
      </c>
      <c r="F783" s="11" t="s">
        <v>2194</v>
      </c>
      <c r="G783" s="12"/>
      <c r="H783" s="12"/>
      <c r="I783" s="13">
        <v>0</v>
      </c>
      <c r="J783" s="13">
        <v>0</v>
      </c>
      <c r="K783" s="14" t="str">
        <f t="shared" ref="K783:K784" si="150">HYPERLINK("http://twitter.com","Twitter Web Client")</f>
        <v>Twitter Web Client</v>
      </c>
      <c r="L783" s="13">
        <v>68</v>
      </c>
      <c r="M783" s="13">
        <v>95</v>
      </c>
      <c r="N783" s="13">
        <v>0</v>
      </c>
      <c r="O783" s="15"/>
      <c r="P783" s="6">
        <v>43106.330972222218</v>
      </c>
      <c r="Q783" s="17" t="s">
        <v>29</v>
      </c>
      <c r="R783" s="18"/>
      <c r="S783" s="12"/>
      <c r="T783" s="12"/>
      <c r="U783" s="10" t="str">
        <f>HYPERLINK("https://pbs.twimg.com/profile_images/949671957892616195/0u9g2T5l.jpg","View")</f>
        <v>View</v>
      </c>
    </row>
    <row r="784" spans="1:21" ht="30.6">
      <c r="A784" s="6">
        <v>43425.570520833338</v>
      </c>
      <c r="B784" s="7" t="str">
        <f>HYPERLINK("https://twitter.com/majara0","@majara0")</f>
        <v>@majara0</v>
      </c>
      <c r="C784" s="8" t="s">
        <v>1282</v>
      </c>
      <c r="D784" s="9" t="s">
        <v>2905</v>
      </c>
      <c r="E784" s="10" t="str">
        <f>HYPERLINK("https://twitter.com/majara0/status/1065359585740029955","1065359585740029955")</f>
        <v>1065359585740029955</v>
      </c>
      <c r="F784" s="12"/>
      <c r="G784" s="12"/>
      <c r="H784" s="12"/>
      <c r="I784" s="13">
        <v>1</v>
      </c>
      <c r="J784" s="13">
        <v>4</v>
      </c>
      <c r="K784" s="14" t="str">
        <f t="shared" si="150"/>
        <v>Twitter Web Client</v>
      </c>
      <c r="L784" s="13">
        <v>21503</v>
      </c>
      <c r="M784" s="13">
        <v>532</v>
      </c>
      <c r="N784" s="13">
        <v>356</v>
      </c>
      <c r="O784" s="15"/>
      <c r="P784" s="6">
        <v>41758.627708333333</v>
      </c>
      <c r="Q784" s="11" t="s">
        <v>1284</v>
      </c>
      <c r="R784" s="16" t="s">
        <v>1285</v>
      </c>
      <c r="S784" s="11" t="s">
        <v>1286</v>
      </c>
      <c r="T784" s="12"/>
      <c r="U784" s="10" t="str">
        <f>HYPERLINK("https://pbs.twimg.com/profile_images/870010551069552640/17jVtRsw.jpg","View")</f>
        <v>View</v>
      </c>
    </row>
    <row r="785" spans="1:21" ht="40.799999999999997">
      <c r="A785" s="6">
        <v>43425.5699537037</v>
      </c>
      <c r="B785" s="7" t="str">
        <f>HYPERLINK("https://twitter.com/juanfrem531","@juanfrem531")</f>
        <v>@juanfrem531</v>
      </c>
      <c r="C785" s="8" t="s">
        <v>2906</v>
      </c>
      <c r="D785" s="9" t="s">
        <v>2907</v>
      </c>
      <c r="E785" s="10" t="str">
        <f>HYPERLINK("https://twitter.com/juanfrem531/status/1065359379019546624","1065359379019546624")</f>
        <v>1065359379019546624</v>
      </c>
      <c r="F785" s="11" t="s">
        <v>2194</v>
      </c>
      <c r="G785" s="12"/>
      <c r="H785" s="12"/>
      <c r="I785" s="13">
        <v>0</v>
      </c>
      <c r="J785" s="13">
        <v>0</v>
      </c>
      <c r="K785" s="14" t="str">
        <f t="shared" ref="K785:K789" si="151">HYPERLINK("http://twitter.com/download/android","Twitter for Android")</f>
        <v>Twitter for Android</v>
      </c>
      <c r="L785" s="13">
        <v>62</v>
      </c>
      <c r="M785" s="13">
        <v>159</v>
      </c>
      <c r="N785" s="13">
        <v>2</v>
      </c>
      <c r="O785" s="15"/>
      <c r="P785" s="6">
        <v>43328.135023148148</v>
      </c>
      <c r="Q785" s="12"/>
      <c r="R785" s="16" t="s">
        <v>2908</v>
      </c>
      <c r="S785" s="12"/>
      <c r="T785" s="12"/>
      <c r="U785" s="10" t="str">
        <f>HYPERLINK("https://pbs.twimg.com/profile_images/1050676796591497217/Ad6Vs2Nf.jpg","View")</f>
        <v>View</v>
      </c>
    </row>
    <row r="786" spans="1:21" ht="30.6">
      <c r="A786" s="6">
        <v>43425.567928240736</v>
      </c>
      <c r="B786" s="7" t="str">
        <f>HYPERLINK("https://twitter.com/Falditox","@Falditox")</f>
        <v>@Falditox</v>
      </c>
      <c r="C786" s="8" t="s">
        <v>294</v>
      </c>
      <c r="D786" s="9" t="s">
        <v>2909</v>
      </c>
      <c r="E786" s="10" t="str">
        <f>HYPERLINK("https://twitter.com/Falditox/status/1065358645356126210","1065358645356126210")</f>
        <v>1065358645356126210</v>
      </c>
      <c r="F786" s="12"/>
      <c r="G786" s="12"/>
      <c r="H786" s="12"/>
      <c r="I786" s="13">
        <v>0</v>
      </c>
      <c r="J786" s="13">
        <v>0</v>
      </c>
      <c r="K786" s="14" t="str">
        <f t="shared" si="151"/>
        <v>Twitter for Android</v>
      </c>
      <c r="L786" s="13">
        <v>632</v>
      </c>
      <c r="M786" s="13">
        <v>803</v>
      </c>
      <c r="N786" s="13">
        <v>21</v>
      </c>
      <c r="O786" s="15"/>
      <c r="P786" s="6">
        <v>41725.245752314819</v>
      </c>
      <c r="Q786" s="17" t="s">
        <v>118</v>
      </c>
      <c r="R786" s="16" t="s">
        <v>296</v>
      </c>
      <c r="S786" s="12"/>
      <c r="T786" s="12"/>
      <c r="U786" s="10" t="str">
        <f>HYPERLINK("https://pbs.twimg.com/profile_images/974593911497863168/tk2JE66q.jpg","View")</f>
        <v>View</v>
      </c>
    </row>
    <row r="787" spans="1:21" ht="20.399999999999999">
      <c r="A787" s="6">
        <v>43425.564675925925</v>
      </c>
      <c r="B787" s="7" t="str">
        <f>HYPERLINK("https://twitter.com/no_facha","@no_facha")</f>
        <v>@no_facha</v>
      </c>
      <c r="C787" s="8" t="s">
        <v>2910</v>
      </c>
      <c r="D787" s="9" t="s">
        <v>2911</v>
      </c>
      <c r="E787" s="10" t="str">
        <f>HYPERLINK("https://twitter.com/no_facha/status/1065357467289301002","1065357467289301002")</f>
        <v>1065357467289301002</v>
      </c>
      <c r="F787" s="11" t="s">
        <v>2194</v>
      </c>
      <c r="G787" s="12"/>
      <c r="H787" s="12"/>
      <c r="I787" s="13">
        <v>0</v>
      </c>
      <c r="J787" s="13">
        <v>1</v>
      </c>
      <c r="K787" s="14" t="str">
        <f t="shared" si="151"/>
        <v>Twitter for Android</v>
      </c>
      <c r="L787" s="13">
        <v>105</v>
      </c>
      <c r="M787" s="13">
        <v>91</v>
      </c>
      <c r="N787" s="13">
        <v>1</v>
      </c>
      <c r="O787" s="15"/>
      <c r="P787" s="6">
        <v>43397.614907407406</v>
      </c>
      <c r="Q787" s="12"/>
      <c r="R787" s="16" t="s">
        <v>2912</v>
      </c>
      <c r="S787" s="12"/>
      <c r="T787" s="12"/>
      <c r="U787" s="10" t="str">
        <f>HYPERLINK("https://pbs.twimg.com/profile_images/1055214215588384770/e6FCyPKs.jpg","View")</f>
        <v>View</v>
      </c>
    </row>
    <row r="788" spans="1:21" ht="20.399999999999999">
      <c r="A788" s="6">
        <v>43425.563761574071</v>
      </c>
      <c r="B788" s="7" t="str">
        <f>HYPERLINK("https://twitter.com/pgargor","@pgargor")</f>
        <v>@pgargor</v>
      </c>
      <c r="C788" s="8" t="s">
        <v>2913</v>
      </c>
      <c r="D788" s="9" t="s">
        <v>2914</v>
      </c>
      <c r="E788" s="10" t="str">
        <f>HYPERLINK("https://twitter.com/pgargor/status/1065357136232947712","1065357136232947712")</f>
        <v>1065357136232947712</v>
      </c>
      <c r="F788" s="11" t="s">
        <v>2194</v>
      </c>
      <c r="G788" s="12"/>
      <c r="H788" s="12"/>
      <c r="I788" s="13">
        <v>0</v>
      </c>
      <c r="J788" s="13">
        <v>0</v>
      </c>
      <c r="K788" s="14" t="str">
        <f t="shared" si="151"/>
        <v>Twitter for Android</v>
      </c>
      <c r="L788" s="13">
        <v>31</v>
      </c>
      <c r="M788" s="13">
        <v>66</v>
      </c>
      <c r="N788" s="13">
        <v>0</v>
      </c>
      <c r="O788" s="15"/>
      <c r="P788" s="6">
        <v>40867.372881944444</v>
      </c>
      <c r="Q788" s="12"/>
      <c r="R788" s="18"/>
      <c r="S788" s="12"/>
      <c r="T788" s="12"/>
      <c r="U788" s="10" t="str">
        <f>HYPERLINK("https://pbs.twimg.com/profile_images/726415625774596096/B5UUSNMh.jpg","View")</f>
        <v>View</v>
      </c>
    </row>
    <row r="789" spans="1:21" ht="30.6">
      <c r="A789" s="6">
        <v>43425.563680555555</v>
      </c>
      <c r="B789" s="7" t="str">
        <f>HYPERLINK("https://twitter.com/leohispania70","@leohispania70")</f>
        <v>@leohispania70</v>
      </c>
      <c r="C789" s="8" t="s">
        <v>2916</v>
      </c>
      <c r="D789" s="9" t="s">
        <v>2917</v>
      </c>
      <c r="E789" s="10" t="str">
        <f>HYPERLINK("https://twitter.com/leohispania70/status/1065357109485862914","1065357109485862914")</f>
        <v>1065357109485862914</v>
      </c>
      <c r="F789" s="11" t="s">
        <v>2194</v>
      </c>
      <c r="G789" s="12"/>
      <c r="H789" s="12"/>
      <c r="I789" s="13">
        <v>1</v>
      </c>
      <c r="J789" s="13">
        <v>0</v>
      </c>
      <c r="K789" s="14" t="str">
        <f t="shared" si="151"/>
        <v>Twitter for Android</v>
      </c>
      <c r="L789" s="13">
        <v>1242</v>
      </c>
      <c r="M789" s="13">
        <v>2045</v>
      </c>
      <c r="N789" s="13">
        <v>4</v>
      </c>
      <c r="O789" s="15"/>
      <c r="P789" s="6">
        <v>42682.421365740738</v>
      </c>
      <c r="Q789" s="12"/>
      <c r="R789" s="18"/>
      <c r="S789" s="12"/>
      <c r="T789" s="12"/>
      <c r="U789" s="10" t="str">
        <f>HYPERLINK("https://pbs.twimg.com/profile_images/869446083411365888/7Sh9UKgf.jpg","View")</f>
        <v>View</v>
      </c>
    </row>
    <row r="790" spans="1:21" ht="20.399999999999999">
      <c r="A790" s="6">
        <v>43425.56349537037</v>
      </c>
      <c r="B790" s="7" t="str">
        <f>HYPERLINK("https://twitter.com/LuisLeonardoV","@LuisLeonardoV")</f>
        <v>@LuisLeonardoV</v>
      </c>
      <c r="C790" s="8" t="s">
        <v>2918</v>
      </c>
      <c r="D790" s="9" t="s">
        <v>2882</v>
      </c>
      <c r="E790" s="10" t="str">
        <f>HYPERLINK("https://twitter.com/LuisLeonardoV/status/1065357040883707904","1065357040883707904")</f>
        <v>1065357040883707904</v>
      </c>
      <c r="F790" s="11" t="s">
        <v>2919</v>
      </c>
      <c r="G790" s="12"/>
      <c r="H790" s="12"/>
      <c r="I790" s="13">
        <v>0</v>
      </c>
      <c r="J790" s="13">
        <v>0</v>
      </c>
      <c r="K790" s="14" t="str">
        <f>HYPERLINK("http://www.facebook.com/twitter","Facebook")</f>
        <v>Facebook</v>
      </c>
      <c r="L790" s="13">
        <v>87</v>
      </c>
      <c r="M790" s="13">
        <v>574</v>
      </c>
      <c r="N790" s="13">
        <v>0</v>
      </c>
      <c r="O790" s="15"/>
      <c r="P790" s="6">
        <v>40799.253391203703</v>
      </c>
      <c r="Q790" s="17" t="s">
        <v>2920</v>
      </c>
      <c r="R790" s="16" t="s">
        <v>2921</v>
      </c>
      <c r="S790" s="12"/>
      <c r="T790" s="12"/>
      <c r="U790" s="10" t="str">
        <f>HYPERLINK("https://pbs.twimg.com/profile_images/953603125646188544/vVgwuEZ6.jpg","View")</f>
        <v>View</v>
      </c>
    </row>
    <row r="791" spans="1:21" ht="40.799999999999997">
      <c r="A791" s="6">
        <v>43425.563356481478</v>
      </c>
      <c r="B791" s="7" t="str">
        <f>HYPERLINK("https://twitter.com/falcarazfer","@falcarazfer")</f>
        <v>@falcarazfer</v>
      </c>
      <c r="C791" s="8" t="s">
        <v>1486</v>
      </c>
      <c r="D791" s="9" t="s">
        <v>2914</v>
      </c>
      <c r="E791" s="10" t="str">
        <f>HYPERLINK("https://twitter.com/falcarazfer/status/1065356991894306822","1065356991894306822")</f>
        <v>1065356991894306822</v>
      </c>
      <c r="F791" s="11" t="s">
        <v>2194</v>
      </c>
      <c r="G791" s="12"/>
      <c r="H791" s="12"/>
      <c r="I791" s="13">
        <v>0</v>
      </c>
      <c r="J791" s="13">
        <v>0</v>
      </c>
      <c r="K791" s="14" t="str">
        <f>HYPERLINK("http://twitter.com","Twitter Web Client")</f>
        <v>Twitter Web Client</v>
      </c>
      <c r="L791" s="13">
        <v>3519</v>
      </c>
      <c r="M791" s="13">
        <v>3474</v>
      </c>
      <c r="N791" s="13">
        <v>52</v>
      </c>
      <c r="O791" s="15"/>
      <c r="P791" s="6">
        <v>41687.486030092594</v>
      </c>
      <c r="Q791" s="12"/>
      <c r="R791" s="16" t="s">
        <v>1489</v>
      </c>
      <c r="S791" s="12"/>
      <c r="T791" s="12"/>
      <c r="U791" s="10" t="str">
        <f>HYPERLINK("https://pbs.twimg.com/profile_images/459014754648879105/Dt4Ki-pT.png","View")</f>
        <v>View</v>
      </c>
    </row>
    <row r="792" spans="1:21" ht="40.799999999999997">
      <c r="A792" s="6">
        <v>43425.562881944439</v>
      </c>
      <c r="B792" s="7" t="str">
        <f>HYPERLINK("https://twitter.com/josecalvogomez","@josecalvogomez")</f>
        <v>@josecalvogomez</v>
      </c>
      <c r="C792" s="8" t="s">
        <v>845</v>
      </c>
      <c r="D792" s="9" t="s">
        <v>2922</v>
      </c>
      <c r="E792" s="10" t="str">
        <f>HYPERLINK("https://twitter.com/josecalvogomez/status/1065356817843306502","1065356817843306502")</f>
        <v>1065356817843306502</v>
      </c>
      <c r="F792" s="11" t="s">
        <v>2194</v>
      </c>
      <c r="G792" s="12"/>
      <c r="H792" s="12"/>
      <c r="I792" s="13">
        <v>1</v>
      </c>
      <c r="J792" s="13">
        <v>1</v>
      </c>
      <c r="K792" s="14" t="str">
        <f>HYPERLINK("http://twitter.com/download/android","Twitter for Android")</f>
        <v>Twitter for Android</v>
      </c>
      <c r="L792" s="13">
        <v>4153</v>
      </c>
      <c r="M792" s="13">
        <v>4999</v>
      </c>
      <c r="N792" s="13">
        <v>25</v>
      </c>
      <c r="O792" s="15"/>
      <c r="P792" s="6">
        <v>41325.620289351849</v>
      </c>
      <c r="Q792" s="12"/>
      <c r="R792" s="18"/>
      <c r="S792" s="12"/>
      <c r="T792" s="12"/>
      <c r="U792" s="10" t="str">
        <f>HYPERLINK("https://pbs.twimg.com/profile_images/641263832598454272/RFaw01FM.jpg","View")</f>
        <v>View</v>
      </c>
    </row>
    <row r="793" spans="1:21" ht="20.399999999999999">
      <c r="A793" s="6">
        <v>43425.56287037037</v>
      </c>
      <c r="B793" s="7" t="str">
        <f>HYPERLINK("https://twitter.com/hehvah","@hehvah")</f>
        <v>@hehvah</v>
      </c>
      <c r="C793" s="8" t="s">
        <v>2923</v>
      </c>
      <c r="D793" s="9" t="s">
        <v>2914</v>
      </c>
      <c r="E793" s="10" t="str">
        <f>HYPERLINK("https://twitter.com/hehvah/status/1065356814655676418","1065356814655676418")</f>
        <v>1065356814655676418</v>
      </c>
      <c r="F793" s="11" t="s">
        <v>2194</v>
      </c>
      <c r="G793" s="12"/>
      <c r="H793" s="12"/>
      <c r="I793" s="13">
        <v>0</v>
      </c>
      <c r="J793" s="13">
        <v>0</v>
      </c>
      <c r="K793" s="14" t="str">
        <f>HYPERLINK("http://twitter.com","Twitter Web Client")</f>
        <v>Twitter Web Client</v>
      </c>
      <c r="L793" s="13">
        <v>50</v>
      </c>
      <c r="M793" s="13">
        <v>70</v>
      </c>
      <c r="N793" s="13">
        <v>0</v>
      </c>
      <c r="O793" s="15"/>
      <c r="P793" s="6">
        <v>40984.174050925925</v>
      </c>
      <c r="Q793" s="12"/>
      <c r="R793" s="18"/>
      <c r="S793" s="12"/>
      <c r="T793" s="12"/>
      <c r="U793" s="10" t="str">
        <f>HYPERLINK("https://pbs.twimg.com/profile_images/1018435274697854976/RJjfTA6n.jpg","View")</f>
        <v>View</v>
      </c>
    </row>
    <row r="794" spans="1:21" ht="30.6">
      <c r="A794" s="6">
        <v>43425.562453703707</v>
      </c>
      <c r="B794" s="7" t="str">
        <f>HYPERLINK("https://twitter.com/pepavivas","@pepavivas")</f>
        <v>@pepavivas</v>
      </c>
      <c r="C794" s="8" t="s">
        <v>2924</v>
      </c>
      <c r="D794" s="9" t="s">
        <v>2925</v>
      </c>
      <c r="E794" s="10" t="str">
        <f>HYPERLINK("https://twitter.com/pepavivas/status/1065356663039975430","1065356663039975430")</f>
        <v>1065356663039975430</v>
      </c>
      <c r="F794" s="11" t="s">
        <v>2194</v>
      </c>
      <c r="G794" s="12"/>
      <c r="H794" s="12"/>
      <c r="I794" s="13">
        <v>0</v>
      </c>
      <c r="J794" s="13">
        <v>0</v>
      </c>
      <c r="K794" s="14" t="str">
        <f>HYPERLINK("http://twitter.com/download/android","Twitter for Android")</f>
        <v>Twitter for Android</v>
      </c>
      <c r="L794" s="13">
        <v>6299</v>
      </c>
      <c r="M794" s="13">
        <v>4613</v>
      </c>
      <c r="N794" s="13">
        <v>60</v>
      </c>
      <c r="O794" s="15"/>
      <c r="P794" s="6">
        <v>40559.42123842593</v>
      </c>
      <c r="Q794" s="17" t="s">
        <v>2926</v>
      </c>
      <c r="R794" s="16" t="s">
        <v>2927</v>
      </c>
      <c r="S794" s="12"/>
      <c r="T794" s="12"/>
      <c r="U794" s="10" t="str">
        <f>HYPERLINK("https://pbs.twimg.com/profile_images/479570691889434624/jpJ1b-HA.png","View")</f>
        <v>View</v>
      </c>
    </row>
    <row r="795" spans="1:21" ht="20.399999999999999">
      <c r="A795" s="6">
        <v>43425.560624999998</v>
      </c>
      <c r="B795" s="7" t="str">
        <f>HYPERLINK("https://twitter.com/mariacasgar","@mariacasgar")</f>
        <v>@mariacasgar</v>
      </c>
      <c r="C795" s="8" t="s">
        <v>2928</v>
      </c>
      <c r="D795" s="9" t="s">
        <v>2914</v>
      </c>
      <c r="E795" s="10" t="str">
        <f>HYPERLINK("https://twitter.com/mariacasgar/status/1065356001292009473","1065356001292009473")</f>
        <v>1065356001292009473</v>
      </c>
      <c r="F795" s="11" t="s">
        <v>2194</v>
      </c>
      <c r="G795" s="12"/>
      <c r="H795" s="12"/>
      <c r="I795" s="13">
        <v>0</v>
      </c>
      <c r="J795" s="13">
        <v>0</v>
      </c>
      <c r="K795" s="14" t="str">
        <f>HYPERLINK("http://twitter.com","Twitter Web Client")</f>
        <v>Twitter Web Client</v>
      </c>
      <c r="L795" s="13">
        <v>1712</v>
      </c>
      <c r="M795" s="13">
        <v>1846</v>
      </c>
      <c r="N795" s="13">
        <v>26</v>
      </c>
      <c r="O795" s="15"/>
      <c r="P795" s="6">
        <v>41055.717916666668</v>
      </c>
      <c r="Q795" s="12"/>
      <c r="R795" s="16" t="s">
        <v>2929</v>
      </c>
      <c r="S795" s="12"/>
      <c r="T795" s="12"/>
      <c r="U795" s="10" t="str">
        <f>HYPERLINK("https://pbs.twimg.com/profile_images/1009151242151620608/qZ8O3VIa.jpg","View")</f>
        <v>View</v>
      </c>
    </row>
    <row r="796" spans="1:21" ht="51">
      <c r="A796" s="6">
        <v>43425.555706018524</v>
      </c>
      <c r="B796" s="7" t="str">
        <f>HYPERLINK("https://twitter.com/ximoilicitano14","@ximoilicitano14")</f>
        <v>@ximoilicitano14</v>
      </c>
      <c r="C796" s="8" t="s">
        <v>2435</v>
      </c>
      <c r="D796" s="9" t="s">
        <v>2930</v>
      </c>
      <c r="E796" s="10" t="str">
        <f>HYPERLINK("https://twitter.com/ximoilicitano14/status/1065354215877459969","1065354215877459969")</f>
        <v>1065354215877459969</v>
      </c>
      <c r="F796" s="12"/>
      <c r="G796" s="11" t="s">
        <v>2931</v>
      </c>
      <c r="H796" s="12"/>
      <c r="I796" s="13">
        <v>6</v>
      </c>
      <c r="J796" s="13">
        <v>8</v>
      </c>
      <c r="K796" s="14" t="str">
        <f t="shared" ref="K796:K797" si="152">HYPERLINK("http://twitter.com/download/android","Twitter for Android")</f>
        <v>Twitter for Android</v>
      </c>
      <c r="L796" s="13">
        <v>804</v>
      </c>
      <c r="M796" s="13">
        <v>1043</v>
      </c>
      <c r="N796" s="13">
        <v>8</v>
      </c>
      <c r="O796" s="15"/>
      <c r="P796" s="6">
        <v>41954.660405092596</v>
      </c>
      <c r="Q796" s="12"/>
      <c r="R796" s="16" t="s">
        <v>2438</v>
      </c>
      <c r="S796" s="11" t="s">
        <v>2439</v>
      </c>
      <c r="T796" s="12"/>
      <c r="U796" s="10" t="str">
        <f>HYPERLINK("https://pbs.twimg.com/profile_images/1025622799283630080/BeM9PIam.jpg","View")</f>
        <v>View</v>
      </c>
    </row>
    <row r="797" spans="1:21" ht="40.799999999999997">
      <c r="A797" s="6">
        <v>43425.550787037035</v>
      </c>
      <c r="B797" s="7" t="str">
        <f>HYPERLINK("https://twitter.com/homopestis","@homopestis")</f>
        <v>@homopestis</v>
      </c>
      <c r="C797" s="8" t="s">
        <v>2932</v>
      </c>
      <c r="D797" s="9" t="s">
        <v>2933</v>
      </c>
      <c r="E797" s="10" t="str">
        <f>HYPERLINK("https://twitter.com/homopestis/status/1065352436410404865","1065352436410404865")</f>
        <v>1065352436410404865</v>
      </c>
      <c r="F797" s="12"/>
      <c r="G797" s="12"/>
      <c r="H797" s="12"/>
      <c r="I797" s="13">
        <v>1</v>
      </c>
      <c r="J797" s="13">
        <v>1</v>
      </c>
      <c r="K797" s="14" t="str">
        <f t="shared" si="152"/>
        <v>Twitter for Android</v>
      </c>
      <c r="L797" s="13">
        <v>2875</v>
      </c>
      <c r="M797" s="13">
        <v>2347</v>
      </c>
      <c r="N797" s="13">
        <v>51</v>
      </c>
      <c r="O797" s="15"/>
      <c r="P797" s="6">
        <v>42225.641736111109</v>
      </c>
      <c r="Q797" s="12"/>
      <c r="R797" s="16" t="s">
        <v>2934</v>
      </c>
      <c r="S797" s="12"/>
      <c r="T797" s="12"/>
      <c r="U797" s="10" t="str">
        <f>HYPERLINK("https://pbs.twimg.com/profile_images/783067202475950080/nRXMaToV.jpg","View")</f>
        <v>View</v>
      </c>
    </row>
    <row r="798" spans="1:21" ht="30.6">
      <c r="A798" s="6">
        <v>43425.547430555554</v>
      </c>
      <c r="B798" s="7" t="str">
        <f>HYPERLINK("https://twitter.com/Dama_Cristal","@Dama_Cristal")</f>
        <v>@Dama_Cristal</v>
      </c>
      <c r="C798" s="8" t="s">
        <v>2935</v>
      </c>
      <c r="D798" s="9" t="s">
        <v>2936</v>
      </c>
      <c r="E798" s="10" t="str">
        <f>HYPERLINK("https://twitter.com/Dama_Cristal/status/1065351218443284480","1065351218443284480")</f>
        <v>1065351218443284480</v>
      </c>
      <c r="F798" s="11" t="s">
        <v>2194</v>
      </c>
      <c r="G798" s="12"/>
      <c r="H798" s="12"/>
      <c r="I798" s="13">
        <v>0</v>
      </c>
      <c r="J798" s="13">
        <v>0</v>
      </c>
      <c r="K798" s="14" t="str">
        <f>HYPERLINK("http://twitter.com","Twitter Web Client")</f>
        <v>Twitter Web Client</v>
      </c>
      <c r="L798" s="13">
        <v>3927</v>
      </c>
      <c r="M798" s="13">
        <v>1145</v>
      </c>
      <c r="N798" s="13">
        <v>113</v>
      </c>
      <c r="O798" s="15"/>
      <c r="P798" s="6">
        <v>40055.588437500002</v>
      </c>
      <c r="Q798" s="17" t="s">
        <v>2937</v>
      </c>
      <c r="R798" s="16" t="s">
        <v>2938</v>
      </c>
      <c r="S798" s="11" t="s">
        <v>2939</v>
      </c>
      <c r="T798" s="12"/>
      <c r="U798" s="10" t="str">
        <f>HYPERLINK("https://pbs.twimg.com/profile_images/1063871379488063489/2qf35eY7.jpg","View")</f>
        <v>View</v>
      </c>
    </row>
    <row r="799" spans="1:21" ht="20.399999999999999">
      <c r="A799" s="6">
        <v>43425.544710648144</v>
      </c>
      <c r="B799" s="7" t="str">
        <f>HYPERLINK("https://twitter.com/Tartessos_","@Tartessos_")</f>
        <v>@Tartessos_</v>
      </c>
      <c r="C799" s="8" t="s">
        <v>2940</v>
      </c>
      <c r="D799" s="9" t="s">
        <v>2941</v>
      </c>
      <c r="E799" s="10" t="str">
        <f>HYPERLINK("https://twitter.com/Tartessos_/status/1065350233545150464","1065350233545150464")</f>
        <v>1065350233545150464</v>
      </c>
      <c r="F799" s="12"/>
      <c r="G799" s="11" t="s">
        <v>2942</v>
      </c>
      <c r="H799" s="12"/>
      <c r="I799" s="13">
        <v>0</v>
      </c>
      <c r="J799" s="13">
        <v>0</v>
      </c>
      <c r="K799" s="14" t="str">
        <f>HYPERLINK("http://twitter.com/download/android","Twitter for Android")</f>
        <v>Twitter for Android</v>
      </c>
      <c r="L799" s="13">
        <v>7</v>
      </c>
      <c r="M799" s="13">
        <v>40</v>
      </c>
      <c r="N799" s="13">
        <v>0</v>
      </c>
      <c r="O799" s="15"/>
      <c r="P799" s="6">
        <v>42424.69703703704</v>
      </c>
      <c r="Q799" s="17" t="s">
        <v>2943</v>
      </c>
      <c r="R799" s="16" t="s">
        <v>2944</v>
      </c>
      <c r="S799" s="12"/>
      <c r="T799" s="12"/>
      <c r="U799" s="10" t="str">
        <f>HYPERLINK("https://pbs.twimg.com/profile_images/1028109068089675776/CBtmXeHr.jpg","View")</f>
        <v>View</v>
      </c>
    </row>
    <row r="800" spans="1:21" ht="51">
      <c r="A800" s="6">
        <v>43425.543599537035</v>
      </c>
      <c r="B800" s="7" t="str">
        <f>HYPERLINK("https://twitter.com/abcespana","@abcespana")</f>
        <v>@abcespana</v>
      </c>
      <c r="C800" s="8" t="s">
        <v>1840</v>
      </c>
      <c r="D800" s="9" t="s">
        <v>2945</v>
      </c>
      <c r="E800" s="10" t="str">
        <f>HYPERLINK("https://twitter.com/abcespana/status/1065349829801451520","1065349829801451520")</f>
        <v>1065349829801451520</v>
      </c>
      <c r="F800" s="11" t="s">
        <v>2946</v>
      </c>
      <c r="G800" s="12"/>
      <c r="H800" s="12"/>
      <c r="I800" s="13">
        <v>1</v>
      </c>
      <c r="J800" s="13">
        <v>1</v>
      </c>
      <c r="K800" s="14" t="str">
        <f>HYPERLINK("http://dogtrack.es","DogTrack_Oficial")</f>
        <v>DogTrack_Oficial</v>
      </c>
      <c r="L800" s="13">
        <v>12154</v>
      </c>
      <c r="M800" s="13">
        <v>199</v>
      </c>
      <c r="N800" s="13">
        <v>219</v>
      </c>
      <c r="O800" s="19" t="s">
        <v>74</v>
      </c>
      <c r="P800" s="6">
        <v>41820.1090625</v>
      </c>
      <c r="Q800" s="12"/>
      <c r="R800" s="16" t="s">
        <v>1843</v>
      </c>
      <c r="S800" s="11" t="s">
        <v>1844</v>
      </c>
      <c r="T800" s="12"/>
      <c r="U800" s="10" t="str">
        <f>HYPERLINK("https://pbs.twimg.com/profile_images/660003544939012096/foGuoVBZ.png","View")</f>
        <v>View</v>
      </c>
    </row>
    <row r="801" spans="1:21" ht="20.399999999999999">
      <c r="A801" s="6">
        <v>43425.541203703702</v>
      </c>
      <c r="B801" s="7" t="str">
        <f>HYPERLINK("https://twitter.com/vicenterl1","@vicenterl1")</f>
        <v>@vicenterl1</v>
      </c>
      <c r="C801" s="8" t="s">
        <v>2947</v>
      </c>
      <c r="D801" s="9" t="s">
        <v>2948</v>
      </c>
      <c r="E801" s="10" t="str">
        <f>HYPERLINK("https://twitter.com/vicenterl1/status/1065348960951435264","1065348960951435264")</f>
        <v>1065348960951435264</v>
      </c>
      <c r="F801" s="11" t="s">
        <v>2949</v>
      </c>
      <c r="G801" s="12"/>
      <c r="H801" s="12"/>
      <c r="I801" s="13">
        <v>0</v>
      </c>
      <c r="J801" s="13">
        <v>0</v>
      </c>
      <c r="K801" s="14" t="str">
        <f>HYPERLINK("http://twitter.com","Twitter Web Client")</f>
        <v>Twitter Web Client</v>
      </c>
      <c r="L801" s="13">
        <v>186</v>
      </c>
      <c r="M801" s="13">
        <v>16</v>
      </c>
      <c r="N801" s="13">
        <v>15</v>
      </c>
      <c r="O801" s="15"/>
      <c r="P801" s="6">
        <v>40439.707858796297</v>
      </c>
      <c r="Q801" s="17" t="s">
        <v>902</v>
      </c>
      <c r="R801" s="18"/>
      <c r="S801" s="11" t="s">
        <v>2950</v>
      </c>
      <c r="T801" s="12"/>
      <c r="U801" s="10" t="str">
        <f>HYPERLINK("https://pbs.twimg.com/profile_images/3128450797/a8592354dd7b9d58b220eb29ed356b0c.jpeg","View")</f>
        <v>View</v>
      </c>
    </row>
    <row r="802" spans="1:21" ht="13.2">
      <c r="A802" s="6">
        <v>43425.540497685186</v>
      </c>
      <c r="B802" s="7" t="str">
        <f>HYPERLINK("https://twitter.com/AlzolaJose","@AlzolaJose")</f>
        <v>@AlzolaJose</v>
      </c>
      <c r="C802" s="8" t="s">
        <v>2951</v>
      </c>
      <c r="D802" s="9" t="s">
        <v>2952</v>
      </c>
      <c r="E802" s="10" t="str">
        <f>HYPERLINK("https://twitter.com/AlzolaJose/status/1065348706868887554","1065348706868887554")</f>
        <v>1065348706868887554</v>
      </c>
      <c r="F802" s="11" t="s">
        <v>2953</v>
      </c>
      <c r="G802" s="12"/>
      <c r="H802" s="12"/>
      <c r="I802" s="13">
        <v>0</v>
      </c>
      <c r="J802" s="13">
        <v>0</v>
      </c>
      <c r="K802" s="14" t="str">
        <f>HYPERLINK("http://www.facebook.com/twitter","Facebook")</f>
        <v>Facebook</v>
      </c>
      <c r="L802" s="13">
        <v>1062</v>
      </c>
      <c r="M802" s="13">
        <v>1919</v>
      </c>
      <c r="N802" s="13">
        <v>14</v>
      </c>
      <c r="O802" s="15"/>
      <c r="P802" s="6">
        <v>40717.642951388887</v>
      </c>
      <c r="Q802" s="17" t="s">
        <v>2954</v>
      </c>
      <c r="R802" s="18"/>
      <c r="S802" s="12"/>
      <c r="T802" s="12"/>
      <c r="U802" s="10" t="str">
        <f>HYPERLINK("https://pbs.twimg.com/profile_images/440997021030170624/LJ9IF6wc.jpeg","View")</f>
        <v>View</v>
      </c>
    </row>
    <row r="803" spans="1:21" ht="51">
      <c r="A803" s="6">
        <v>43425.535393518519</v>
      </c>
      <c r="B803" s="7" t="str">
        <f>HYPERLINK("https://twitter.com/anavergara9","@anavergara9")</f>
        <v>@anavergara9</v>
      </c>
      <c r="C803" s="8" t="s">
        <v>2955</v>
      </c>
      <c r="D803" s="9" t="s">
        <v>2956</v>
      </c>
      <c r="E803" s="10" t="str">
        <f>HYPERLINK("https://twitter.com/anavergara9/status/1065346858132938754","1065346858132938754")</f>
        <v>1065346858132938754</v>
      </c>
      <c r="F803" s="12"/>
      <c r="G803" s="12"/>
      <c r="H803" s="12"/>
      <c r="I803" s="13">
        <v>0</v>
      </c>
      <c r="J803" s="13">
        <v>5</v>
      </c>
      <c r="K803" s="14" t="str">
        <f>HYPERLINK("http://twitter.com/download/iphone","Twitter for iPhone")</f>
        <v>Twitter for iPhone</v>
      </c>
      <c r="L803" s="13">
        <v>803</v>
      </c>
      <c r="M803" s="13">
        <v>497</v>
      </c>
      <c r="N803" s="13">
        <v>5</v>
      </c>
      <c r="O803" s="15"/>
      <c r="P803" s="6">
        <v>40663.13040509259</v>
      </c>
      <c r="Q803" s="17" t="s">
        <v>732</v>
      </c>
      <c r="R803" s="16" t="s">
        <v>2957</v>
      </c>
      <c r="S803" s="12"/>
      <c r="T803" s="12"/>
      <c r="U803" s="10" t="str">
        <f>HYPERLINK("https://pbs.twimg.com/profile_images/875689106625396737/D8hRcyBl.jpg","View")</f>
        <v>View</v>
      </c>
    </row>
    <row r="804" spans="1:21" ht="40.799999999999997">
      <c r="A804" s="6">
        <v>43425.534942129627</v>
      </c>
      <c r="B804" s="7" t="str">
        <f>HYPERLINK("https://twitter.com/Santi_G_F","@Santi_G_F")</f>
        <v>@Santi_G_F</v>
      </c>
      <c r="C804" s="8" t="s">
        <v>2958</v>
      </c>
      <c r="D804" s="9" t="s">
        <v>2959</v>
      </c>
      <c r="E804" s="10" t="str">
        <f>HYPERLINK("https://twitter.com/Santi_G_F/status/1065346693212897280","1065346693212897280")</f>
        <v>1065346693212897280</v>
      </c>
      <c r="F804" s="12"/>
      <c r="G804" s="12"/>
      <c r="H804" s="12"/>
      <c r="I804" s="13">
        <v>0</v>
      </c>
      <c r="J804" s="13">
        <v>0</v>
      </c>
      <c r="K804" s="14" t="str">
        <f>HYPERLINK("http://www.facebook.com/twitter","Facebook")</f>
        <v>Facebook</v>
      </c>
      <c r="L804" s="13">
        <v>196</v>
      </c>
      <c r="M804" s="13">
        <v>286</v>
      </c>
      <c r="N804" s="13">
        <v>2</v>
      </c>
      <c r="O804" s="15"/>
      <c r="P804" s="6">
        <v>42417.134548611109</v>
      </c>
      <c r="Q804" s="12"/>
      <c r="R804" s="16" t="s">
        <v>2960</v>
      </c>
      <c r="S804" s="12"/>
      <c r="T804" s="12"/>
      <c r="U804" s="10" t="str">
        <f>HYPERLINK("https://pbs.twimg.com/profile_images/706241638981636096/FMN7rgKx.jpg","View")</f>
        <v>View</v>
      </c>
    </row>
    <row r="805" spans="1:21" ht="51">
      <c r="A805" s="6">
        <v>43425.529687499999</v>
      </c>
      <c r="B805" s="7" t="str">
        <f>HYPERLINK("https://twitter.com/ellatigo_","@ellatigo_")</f>
        <v>@ellatigo_</v>
      </c>
      <c r="C805" s="8" t="s">
        <v>2961</v>
      </c>
      <c r="D805" s="9" t="s">
        <v>2962</v>
      </c>
      <c r="E805" s="10" t="str">
        <f>HYPERLINK("https://twitter.com/ellatigo_/status/1065344789569314818","1065344789569314818")</f>
        <v>1065344789569314818</v>
      </c>
      <c r="F805" s="12"/>
      <c r="G805" s="12"/>
      <c r="H805" s="12"/>
      <c r="I805" s="13">
        <v>3</v>
      </c>
      <c r="J805" s="13">
        <v>1</v>
      </c>
      <c r="K805" s="14" t="str">
        <f t="shared" ref="K805:K808" si="153">HYPERLINK("http://twitter.com/download/android","Twitter for Android")</f>
        <v>Twitter for Android</v>
      </c>
      <c r="L805" s="13">
        <v>18</v>
      </c>
      <c r="M805" s="13">
        <v>37</v>
      </c>
      <c r="N805" s="13">
        <v>0</v>
      </c>
      <c r="O805" s="15"/>
      <c r="P805" s="6">
        <v>43413.134826388894</v>
      </c>
      <c r="Q805" s="12"/>
      <c r="R805" s="16" t="s">
        <v>2964</v>
      </c>
      <c r="S805" s="12"/>
      <c r="T805" s="12"/>
      <c r="U805" s="10" t="str">
        <f>HYPERLINK("https://pbs.twimg.com/profile_images/1061989922855419904/TfpMy7-P.jpg","View")</f>
        <v>View</v>
      </c>
    </row>
    <row r="806" spans="1:21" ht="40.799999999999997">
      <c r="A806" s="6">
        <v>43425.524386574078</v>
      </c>
      <c r="B806" s="7" t="str">
        <f>HYPERLINK("https://twitter.com/miguel_end","@miguel_end")</f>
        <v>@miguel_end</v>
      </c>
      <c r="C806" s="8" t="s">
        <v>2965</v>
      </c>
      <c r="D806" s="9" t="s">
        <v>2966</v>
      </c>
      <c r="E806" s="10" t="str">
        <f>HYPERLINK("https://twitter.com/miguel_end/status/1065342866325680133","1065342866325680133")</f>
        <v>1065342866325680133</v>
      </c>
      <c r="F806" s="12"/>
      <c r="G806" s="11" t="s">
        <v>2967</v>
      </c>
      <c r="H806" s="12"/>
      <c r="I806" s="13">
        <v>0</v>
      </c>
      <c r="J806" s="13">
        <v>1</v>
      </c>
      <c r="K806" s="14" t="str">
        <f t="shared" si="153"/>
        <v>Twitter for Android</v>
      </c>
      <c r="L806" s="13">
        <v>1905</v>
      </c>
      <c r="M806" s="13">
        <v>1842</v>
      </c>
      <c r="N806" s="13">
        <v>5</v>
      </c>
      <c r="O806" s="15"/>
      <c r="P806" s="6">
        <v>43102.601701388892</v>
      </c>
      <c r="Q806" s="17" t="s">
        <v>2968</v>
      </c>
      <c r="R806" s="16" t="s">
        <v>2969</v>
      </c>
      <c r="S806" s="11" t="s">
        <v>2970</v>
      </c>
      <c r="T806" s="12"/>
      <c r="U806" s="10" t="str">
        <f>HYPERLINK("https://pbs.twimg.com/profile_images/948321506609770496/WvbE6kNW.jpg","View")</f>
        <v>View</v>
      </c>
    </row>
    <row r="807" spans="1:21" ht="20.399999999999999">
      <c r="A807" s="6">
        <v>43425.52144675926</v>
      </c>
      <c r="B807" s="7" t="str">
        <f>HYPERLINK("https://twitter.com/JohnPerplejo","@JohnPerplejo")</f>
        <v>@JohnPerplejo</v>
      </c>
      <c r="C807" s="8" t="s">
        <v>2971</v>
      </c>
      <c r="D807" s="9" t="s">
        <v>2972</v>
      </c>
      <c r="E807" s="10" t="str">
        <f>HYPERLINK("https://twitter.com/JohnPerplejo/status/1065341802008461317","1065341802008461317")</f>
        <v>1065341802008461317</v>
      </c>
      <c r="F807" s="12"/>
      <c r="G807" s="12"/>
      <c r="H807" s="12"/>
      <c r="I807" s="13">
        <v>0</v>
      </c>
      <c r="J807" s="13">
        <v>0</v>
      </c>
      <c r="K807" s="14" t="str">
        <f t="shared" si="153"/>
        <v>Twitter for Android</v>
      </c>
      <c r="L807" s="13">
        <v>26</v>
      </c>
      <c r="M807" s="13">
        <v>176</v>
      </c>
      <c r="N807" s="13">
        <v>1</v>
      </c>
      <c r="O807" s="15"/>
      <c r="P807" s="6">
        <v>42545.215104166666</v>
      </c>
      <c r="Q807" s="17" t="s">
        <v>340</v>
      </c>
      <c r="R807" s="16" t="s">
        <v>2973</v>
      </c>
      <c r="S807" s="12"/>
      <c r="T807" s="12"/>
      <c r="U807" s="10" t="str">
        <f>HYPERLINK("https://pbs.twimg.com/profile_images/985093876343074822/aSnpeXD1.jpg","View")</f>
        <v>View</v>
      </c>
    </row>
    <row r="808" spans="1:21" ht="30.6">
      <c r="A808" s="6">
        <v>43425.515300925923</v>
      </c>
      <c r="B808" s="7" t="str">
        <f>HYPERLINK("https://twitter.com/Sergisaju","@Sergisaju")</f>
        <v>@Sergisaju</v>
      </c>
      <c r="C808" s="8" t="s">
        <v>2974</v>
      </c>
      <c r="D808" s="9" t="s">
        <v>2975</v>
      </c>
      <c r="E808" s="10" t="str">
        <f>HYPERLINK("https://twitter.com/Sergisaju/status/1065339574640156672","1065339574640156672")</f>
        <v>1065339574640156672</v>
      </c>
      <c r="F808" s="11" t="s">
        <v>2784</v>
      </c>
      <c r="G808" s="12"/>
      <c r="H808" s="12"/>
      <c r="I808" s="13">
        <v>0</v>
      </c>
      <c r="J808" s="13">
        <v>0</v>
      </c>
      <c r="K808" s="14" t="str">
        <f t="shared" si="153"/>
        <v>Twitter for Android</v>
      </c>
      <c r="L808" s="13">
        <v>2415</v>
      </c>
      <c r="M808" s="13">
        <v>2530</v>
      </c>
      <c r="N808" s="13">
        <v>4</v>
      </c>
      <c r="O808" s="15"/>
      <c r="P808" s="6">
        <v>42244.273368055554</v>
      </c>
      <c r="Q808" s="17" t="s">
        <v>2976</v>
      </c>
      <c r="R808" s="16" t="s">
        <v>2977</v>
      </c>
      <c r="S808" s="12"/>
      <c r="T808" s="12"/>
      <c r="U808" s="10" t="str">
        <f>HYPERLINK("https://pbs.twimg.com/profile_images/936699384456273921/nVjynHc6.jpg","View")</f>
        <v>View</v>
      </c>
    </row>
    <row r="809" spans="1:21" ht="61.2">
      <c r="A809" s="6">
        <v>43425.51158564815</v>
      </c>
      <c r="B809" s="7" t="str">
        <f>HYPERLINK("https://twitter.com/kiiroi","@kiiroi")</f>
        <v>@kiiroi</v>
      </c>
      <c r="C809" s="8" t="s">
        <v>2978</v>
      </c>
      <c r="D809" s="9" t="s">
        <v>2979</v>
      </c>
      <c r="E809" s="10" t="str">
        <f>HYPERLINK("https://twitter.com/kiiroi/status/1065338230143401985","1065338230143401985")</f>
        <v>1065338230143401985</v>
      </c>
      <c r="F809" s="17" t="s">
        <v>2980</v>
      </c>
      <c r="G809" s="11" t="s">
        <v>2981</v>
      </c>
      <c r="H809" s="12"/>
      <c r="I809" s="13">
        <v>0</v>
      </c>
      <c r="J809" s="13">
        <v>0</v>
      </c>
      <c r="K809" s="14" t="str">
        <f t="shared" ref="K809:K810" si="154">HYPERLINK("http://twitter.com","Twitter Web Client")</f>
        <v>Twitter Web Client</v>
      </c>
      <c r="L809" s="13">
        <v>89</v>
      </c>
      <c r="M809" s="13">
        <v>94</v>
      </c>
      <c r="N809" s="13">
        <v>4</v>
      </c>
      <c r="O809" s="15"/>
      <c r="P809" s="6">
        <v>39631.385844907403</v>
      </c>
      <c r="Q809" s="17" t="s">
        <v>336</v>
      </c>
      <c r="R809" s="16" t="s">
        <v>2982</v>
      </c>
      <c r="S809" s="11" t="s">
        <v>2983</v>
      </c>
      <c r="T809" s="12"/>
      <c r="U809" s="10" t="str">
        <f>HYPERLINK("https://pbs.twimg.com/profile_images/3217369444/167dbf83a7e3fa26ac8bb66558245592.jpeg","View")</f>
        <v>View</v>
      </c>
    </row>
    <row r="810" spans="1:21" ht="30.6">
      <c r="A810" s="6">
        <v>43425.511111111111</v>
      </c>
      <c r="B810" s="7" t="str">
        <f>HYPERLINK("https://twitter.com/CerCero","@CerCero")</f>
        <v>@CerCero</v>
      </c>
      <c r="C810" s="8" t="s">
        <v>2984</v>
      </c>
      <c r="D810" s="9" t="s">
        <v>2985</v>
      </c>
      <c r="E810" s="10" t="str">
        <f>HYPERLINK("https://twitter.com/CerCero/status/1065338058625699840","1065338058625699840")</f>
        <v>1065338058625699840</v>
      </c>
      <c r="F810" s="11" t="s">
        <v>2986</v>
      </c>
      <c r="G810" s="11" t="s">
        <v>2987</v>
      </c>
      <c r="H810" s="12"/>
      <c r="I810" s="13">
        <v>0</v>
      </c>
      <c r="J810" s="13">
        <v>1</v>
      </c>
      <c r="K810" s="14" t="str">
        <f t="shared" si="154"/>
        <v>Twitter Web Client</v>
      </c>
      <c r="L810" s="13">
        <v>5753</v>
      </c>
      <c r="M810" s="13">
        <v>5419</v>
      </c>
      <c r="N810" s="13">
        <v>69</v>
      </c>
      <c r="O810" s="15"/>
      <c r="P810" s="6">
        <v>40680.497025462959</v>
      </c>
      <c r="Q810" s="12"/>
      <c r="R810" s="16" t="s">
        <v>2988</v>
      </c>
      <c r="S810" s="12"/>
      <c r="T810" s="12"/>
      <c r="U810" s="10" t="str">
        <f>HYPERLINK("https://pbs.twimg.com/profile_images/1625917287/CerCero2.jpg","View")</f>
        <v>View</v>
      </c>
    </row>
    <row r="811" spans="1:21" ht="51">
      <c r="A811" s="6">
        <v>43425.511053240742</v>
      </c>
      <c r="B811" s="7" t="str">
        <f>HYPERLINK("https://twitter.com/7_ZeRoIo","@7_ZeRoIo")</f>
        <v>@7_ZeRoIo</v>
      </c>
      <c r="C811" s="8" t="s">
        <v>2989</v>
      </c>
      <c r="D811" s="9" t="s">
        <v>2990</v>
      </c>
      <c r="E811" s="10" t="str">
        <f>HYPERLINK("https://twitter.com/7_ZeRoIo/status/1065338036521787393","1065338036521787393")</f>
        <v>1065338036521787393</v>
      </c>
      <c r="F811" s="12"/>
      <c r="G811" s="11" t="s">
        <v>2991</v>
      </c>
      <c r="H811" s="12"/>
      <c r="I811" s="13">
        <v>7</v>
      </c>
      <c r="J811" s="13">
        <v>6</v>
      </c>
      <c r="K811" s="14" t="str">
        <f t="shared" ref="K811:K812" si="155">HYPERLINK("http://twitter.com/download/android","Twitter for Android")</f>
        <v>Twitter for Android</v>
      </c>
      <c r="L811" s="13">
        <v>2965</v>
      </c>
      <c r="M811" s="13">
        <v>3738</v>
      </c>
      <c r="N811" s="13">
        <v>2</v>
      </c>
      <c r="O811" s="15"/>
      <c r="P811" s="6">
        <v>42329.421481481477</v>
      </c>
      <c r="Q811" s="17" t="s">
        <v>2992</v>
      </c>
      <c r="R811" s="16" t="s">
        <v>2993</v>
      </c>
      <c r="S811" s="12"/>
      <c r="T811" s="12"/>
      <c r="U811" s="10" t="str">
        <f>HYPERLINK("https://pbs.twimg.com/profile_images/1057754774085476352/Zcy5ihHq.jpg","View")</f>
        <v>View</v>
      </c>
    </row>
    <row r="812" spans="1:21" ht="40.799999999999997">
      <c r="A812" s="6">
        <v>43425.510694444441</v>
      </c>
      <c r="B812" s="7" t="str">
        <f>HYPERLINK("https://twitter.com/misterodri","@misterodri")</f>
        <v>@misterodri</v>
      </c>
      <c r="C812" s="8" t="s">
        <v>2994</v>
      </c>
      <c r="D812" s="9" t="s">
        <v>2995</v>
      </c>
      <c r="E812" s="10" t="str">
        <f>HYPERLINK("https://twitter.com/misterodri/status/1065337907731472384","1065337907731472384")</f>
        <v>1065337907731472384</v>
      </c>
      <c r="F812" s="12"/>
      <c r="G812" s="12"/>
      <c r="H812" s="12"/>
      <c r="I812" s="13">
        <v>0</v>
      </c>
      <c r="J812" s="13">
        <v>1</v>
      </c>
      <c r="K812" s="14" t="str">
        <f t="shared" si="155"/>
        <v>Twitter for Android</v>
      </c>
      <c r="L812" s="13">
        <v>11</v>
      </c>
      <c r="M812" s="13">
        <v>25</v>
      </c>
      <c r="N812" s="13">
        <v>0</v>
      </c>
      <c r="O812" s="15"/>
      <c r="P812" s="6">
        <v>43251.267731481479</v>
      </c>
      <c r="Q812" s="17" t="s">
        <v>2996</v>
      </c>
      <c r="R812" s="16" t="s">
        <v>2997</v>
      </c>
      <c r="S812" s="12"/>
      <c r="T812" s="12"/>
      <c r="U812" s="10" t="str">
        <f>HYPERLINK("https://pbs.twimg.com/profile_images/1059105188127141889/xGRm0ynQ.jpg","View")</f>
        <v>View</v>
      </c>
    </row>
    <row r="813" spans="1:21" ht="40.799999999999997">
      <c r="A813" s="6">
        <v>43425.51054398148</v>
      </c>
      <c r="B813" s="7" t="str">
        <f>HYPERLINK("https://twitter.com/jaimeberenguer","@jaimeberenguer")</f>
        <v>@jaimeberenguer</v>
      </c>
      <c r="C813" s="8" t="s">
        <v>2998</v>
      </c>
      <c r="D813" s="9" t="s">
        <v>2999</v>
      </c>
      <c r="E813" s="10" t="str">
        <f>HYPERLINK("https://twitter.com/jaimeberenguer/status/1065337850001014785","1065337850001014785")</f>
        <v>1065337850001014785</v>
      </c>
      <c r="F813" s="12"/>
      <c r="G813" s="12"/>
      <c r="H813" s="12"/>
      <c r="I813" s="13">
        <v>1</v>
      </c>
      <c r="J813" s="13">
        <v>3</v>
      </c>
      <c r="K813" s="14" t="str">
        <f>HYPERLINK("http://twitter.com/download/iphone","Twitter for iPhone")</f>
        <v>Twitter for iPhone</v>
      </c>
      <c r="L813" s="13">
        <v>14483</v>
      </c>
      <c r="M813" s="13">
        <v>2710</v>
      </c>
      <c r="N813" s="13">
        <v>209</v>
      </c>
      <c r="O813" s="15"/>
      <c r="P813" s="6">
        <v>40040.049120370371</v>
      </c>
      <c r="Q813" s="12"/>
      <c r="R813" s="16" t="s">
        <v>3000</v>
      </c>
      <c r="S813" s="12"/>
      <c r="T813" s="12"/>
      <c r="U813" s="10" t="str">
        <f>HYPERLINK("https://pbs.twimg.com/profile_images/1048222448372604936/LV72DRWb.jpg","View")</f>
        <v>View</v>
      </c>
    </row>
    <row r="814" spans="1:21" ht="20.399999999999999">
      <c r="A814" s="6">
        <v>43425.506261574075</v>
      </c>
      <c r="B814" s="7" t="str">
        <f>HYPERLINK("https://twitter.com/Moncloa","@Moncloa")</f>
        <v>@Moncloa</v>
      </c>
      <c r="C814" s="8" t="s">
        <v>3001</v>
      </c>
      <c r="D814" s="9" t="s">
        <v>3002</v>
      </c>
      <c r="E814" s="10" t="str">
        <f>HYPERLINK("https://twitter.com/Moncloa/status/1065336297865138176","1065336297865138176")</f>
        <v>1065336297865138176</v>
      </c>
      <c r="F814" s="11" t="s">
        <v>3003</v>
      </c>
      <c r="G814" s="12"/>
      <c r="H814" s="12"/>
      <c r="I814" s="13">
        <v>0</v>
      </c>
      <c r="J814" s="13">
        <v>0</v>
      </c>
      <c r="K814" s="14" t="str">
        <f>HYPERLINK("http://www.gkopu.com/books","MicroContent")</f>
        <v>MicroContent</v>
      </c>
      <c r="L814" s="13">
        <v>9324</v>
      </c>
      <c r="M814" s="13">
        <v>1</v>
      </c>
      <c r="N814" s="13">
        <v>42</v>
      </c>
      <c r="O814" s="15"/>
      <c r="P814" s="6">
        <v>40723.121319444443</v>
      </c>
      <c r="Q814" s="17" t="s">
        <v>29</v>
      </c>
      <c r="R814" s="16" t="s">
        <v>3004</v>
      </c>
      <c r="S814" s="12"/>
      <c r="T814" s="12"/>
      <c r="U814" s="10" t="str">
        <f>HYPERLINK("https://pbs.twimg.com/profile_images/2272310074/v0xjmozqhpv90d675qs9.jpeg","View")</f>
        <v>View</v>
      </c>
    </row>
    <row r="815" spans="1:21" ht="40.799999999999997">
      <c r="A815" s="6">
        <v>43425.505219907413</v>
      </c>
      <c r="B815" s="7" t="str">
        <f>HYPERLINK("https://twitter.com/indeciso62","@indeciso62")</f>
        <v>@indeciso62</v>
      </c>
      <c r="C815" s="8" t="s">
        <v>3005</v>
      </c>
      <c r="D815" s="9" t="s">
        <v>3006</v>
      </c>
      <c r="E815" s="10" t="str">
        <f>HYPERLINK("https://twitter.com/indeciso62/status/1065335924131880964","1065335924131880964")</f>
        <v>1065335924131880964</v>
      </c>
      <c r="F815" s="11" t="s">
        <v>246</v>
      </c>
      <c r="G815" s="12"/>
      <c r="H815" s="12"/>
      <c r="I815" s="13">
        <v>0</v>
      </c>
      <c r="J815" s="13">
        <v>0</v>
      </c>
      <c r="K815" s="14" t="str">
        <f>HYPERLINK("http://twitter.com","Twitter Web Client")</f>
        <v>Twitter Web Client</v>
      </c>
      <c r="L815" s="13">
        <v>443</v>
      </c>
      <c r="M815" s="13">
        <v>391</v>
      </c>
      <c r="N815" s="13">
        <v>0</v>
      </c>
      <c r="O815" s="15"/>
      <c r="P815" s="6">
        <v>43128.175162037034</v>
      </c>
      <c r="Q815" s="17" t="s">
        <v>3007</v>
      </c>
      <c r="R815" s="16" t="s">
        <v>3008</v>
      </c>
      <c r="S815" s="12"/>
      <c r="T815" s="12"/>
      <c r="U815" s="10" t="str">
        <f>HYPERLINK("https://pbs.twimg.com/profile_images/962294955304726528/hsU-XuQp.jpg","View")</f>
        <v>View</v>
      </c>
    </row>
    <row r="816" spans="1:21" ht="20.399999999999999">
      <c r="A816" s="6">
        <v>43425.504108796296</v>
      </c>
      <c r="B816" s="7" t="str">
        <f>HYPERLINK("https://twitter.com/AlbarranNadal","@AlbarranNadal")</f>
        <v>@AlbarranNadal</v>
      </c>
      <c r="C816" s="8" t="s">
        <v>3009</v>
      </c>
      <c r="D816" s="9" t="s">
        <v>3010</v>
      </c>
      <c r="E816" s="10" t="str">
        <f>HYPERLINK("https://twitter.com/AlbarranNadal/status/1065335521155665920","1065335521155665920")</f>
        <v>1065335521155665920</v>
      </c>
      <c r="F816" s="12"/>
      <c r="G816" s="12"/>
      <c r="H816" s="12"/>
      <c r="I816" s="13">
        <v>0</v>
      </c>
      <c r="J816" s="13">
        <v>1</v>
      </c>
      <c r="K816" s="14" t="str">
        <f>HYPERLINK("http://www.facebook.com/twitter","Facebook")</f>
        <v>Facebook</v>
      </c>
      <c r="L816" s="13">
        <v>233</v>
      </c>
      <c r="M816" s="13">
        <v>112</v>
      </c>
      <c r="N816" s="13">
        <v>3</v>
      </c>
      <c r="O816" s="15"/>
      <c r="P816" s="6">
        <v>42487.03260416667</v>
      </c>
      <c r="Q816" s="17" t="s">
        <v>3011</v>
      </c>
      <c r="R816" s="16" t="s">
        <v>3012</v>
      </c>
      <c r="S816" s="12"/>
      <c r="T816" s="12"/>
      <c r="U816" s="10" t="str">
        <f>HYPERLINK("https://pbs.twimg.com/profile_images/839896460602847232/X5FGDTGH.jpg","View")</f>
        <v>View</v>
      </c>
    </row>
    <row r="817" spans="1:21" ht="40.799999999999997">
      <c r="A817" s="6">
        <v>43425.50273148148</v>
      </c>
      <c r="B817" s="7" t="str">
        <f>HYPERLINK("https://twitter.com/Eagles_Spain","@Eagles_Spain")</f>
        <v>@Eagles_Spain</v>
      </c>
      <c r="C817" s="8" t="s">
        <v>3013</v>
      </c>
      <c r="D817" s="9" t="s">
        <v>3014</v>
      </c>
      <c r="E817" s="10" t="str">
        <f>HYPERLINK("https://twitter.com/Eagles_Spain/status/1065335018426417153","1065335018426417153")</f>
        <v>1065335018426417153</v>
      </c>
      <c r="F817" s="11" t="s">
        <v>3015</v>
      </c>
      <c r="G817" s="12"/>
      <c r="H817" s="12"/>
      <c r="I817" s="13">
        <v>8</v>
      </c>
      <c r="J817" s="13">
        <v>8</v>
      </c>
      <c r="K817" s="14" t="str">
        <f>HYPERLINK("http://twitter.com/download/iphone","Twitter for iPhone")</f>
        <v>Twitter for iPhone</v>
      </c>
      <c r="L817" s="13">
        <v>1749</v>
      </c>
      <c r="M817" s="13">
        <v>425</v>
      </c>
      <c r="N817" s="13">
        <v>121</v>
      </c>
      <c r="O817" s="15"/>
      <c r="P817" s="6">
        <v>40156.335057870368</v>
      </c>
      <c r="Q817" s="17" t="s">
        <v>3016</v>
      </c>
      <c r="R817" s="16" t="s">
        <v>3017</v>
      </c>
      <c r="S817" s="11" t="s">
        <v>3018</v>
      </c>
      <c r="T817" s="12"/>
      <c r="U817" s="10" t="str">
        <f>HYPERLINK("https://pbs.twimg.com/profile_images/926539727762788352/rr_afedD.jpg","View")</f>
        <v>View</v>
      </c>
    </row>
    <row r="818" spans="1:21" ht="51">
      <c r="A818" s="6">
        <v>43425.501805555556</v>
      </c>
      <c r="B818" s="7" t="str">
        <f>HYPERLINK("https://twitter.com/Ireth64","@Ireth64")</f>
        <v>@Ireth64</v>
      </c>
      <c r="C818" s="8" t="s">
        <v>3019</v>
      </c>
      <c r="D818" s="9" t="s">
        <v>3020</v>
      </c>
      <c r="E818" s="10" t="str">
        <f>HYPERLINK("https://twitter.com/Ireth64/status/1065334686547890176","1065334686547890176")</f>
        <v>1065334686547890176</v>
      </c>
      <c r="F818" s="17" t="s">
        <v>3021</v>
      </c>
      <c r="G818" s="12"/>
      <c r="H818" s="12"/>
      <c r="I818" s="13">
        <v>0</v>
      </c>
      <c r="J818" s="13">
        <v>1</v>
      </c>
      <c r="K818" s="14" t="str">
        <f t="shared" ref="K818:K819" si="156">HYPERLINK("http://twitter.com/download/android","Twitter for Android")</f>
        <v>Twitter for Android</v>
      </c>
      <c r="L818" s="13">
        <v>2312</v>
      </c>
      <c r="M818" s="13">
        <v>1576</v>
      </c>
      <c r="N818" s="13">
        <v>42</v>
      </c>
      <c r="O818" s="15"/>
      <c r="P818" s="6">
        <v>40793.587210648147</v>
      </c>
      <c r="Q818" s="17" t="s">
        <v>3022</v>
      </c>
      <c r="R818" s="16" t="s">
        <v>3023</v>
      </c>
      <c r="S818" s="11" t="s">
        <v>3024</v>
      </c>
      <c r="T818" s="12"/>
      <c r="U818" s="10" t="str">
        <f>HYPERLINK("https://pbs.twimg.com/profile_images/994852166992056321/XSnRv5y2.jpg","View")</f>
        <v>View</v>
      </c>
    </row>
    <row r="819" spans="1:21" ht="71.400000000000006">
      <c r="A819" s="6">
        <v>43425.5003587963</v>
      </c>
      <c r="B819" s="7" t="str">
        <f>HYPERLINK("https://twitter.com/Karlostentador","@Karlostentador")</f>
        <v>@Karlostentador</v>
      </c>
      <c r="C819" s="8" t="s">
        <v>3025</v>
      </c>
      <c r="D819" s="9" t="s">
        <v>3026</v>
      </c>
      <c r="E819" s="10" t="str">
        <f>HYPERLINK("https://twitter.com/Karlostentador/status/1065334160712220672","1065334160712220672")</f>
        <v>1065334160712220672</v>
      </c>
      <c r="F819" s="17" t="s">
        <v>3027</v>
      </c>
      <c r="G819" s="11" t="s">
        <v>3028</v>
      </c>
      <c r="H819" s="12"/>
      <c r="I819" s="13">
        <v>3</v>
      </c>
      <c r="J819" s="13">
        <v>4</v>
      </c>
      <c r="K819" s="14" t="str">
        <f t="shared" si="156"/>
        <v>Twitter for Android</v>
      </c>
      <c r="L819" s="13">
        <v>559</v>
      </c>
      <c r="M819" s="13">
        <v>818</v>
      </c>
      <c r="N819" s="13">
        <v>11</v>
      </c>
      <c r="O819" s="15"/>
      <c r="P819" s="6">
        <v>42334.340543981481</v>
      </c>
      <c r="Q819" s="12"/>
      <c r="R819" s="16" t="s">
        <v>3029</v>
      </c>
      <c r="S819" s="12"/>
      <c r="T819" s="12"/>
      <c r="U819" s="10" t="str">
        <f>HYPERLINK("https://pbs.twimg.com/profile_images/1014258257182052353/FYfMrnAV.jpg","View")</f>
        <v>View</v>
      </c>
    </row>
    <row r="820" spans="1:21" ht="30.6">
      <c r="A820" s="6">
        <v>43425.499421296292</v>
      </c>
      <c r="B820" s="7" t="str">
        <f>HYPERLINK("https://twitter.com/Germanvalle_","@Germanvalle_")</f>
        <v>@Germanvalle_</v>
      </c>
      <c r="C820" s="8" t="s">
        <v>1450</v>
      </c>
      <c r="D820" s="9" t="s">
        <v>3030</v>
      </c>
      <c r="E820" s="10" t="str">
        <f>HYPERLINK("https://twitter.com/Germanvalle_/status/1065333819266531333","1065333819266531333")</f>
        <v>1065333819266531333</v>
      </c>
      <c r="F820" s="11" t="s">
        <v>3031</v>
      </c>
      <c r="G820" s="12"/>
      <c r="H820" s="12"/>
      <c r="I820" s="13">
        <v>0</v>
      </c>
      <c r="J820" s="13">
        <v>1</v>
      </c>
      <c r="K820" s="14" t="str">
        <f>HYPERLINK("http://twitter.com","Twitter Web Client")</f>
        <v>Twitter Web Client</v>
      </c>
      <c r="L820" s="13">
        <v>40</v>
      </c>
      <c r="M820" s="13">
        <v>169</v>
      </c>
      <c r="N820" s="13">
        <v>0</v>
      </c>
      <c r="O820" s="15"/>
      <c r="P820" s="6">
        <v>43023.605613425927</v>
      </c>
      <c r="Q820" s="12"/>
      <c r="R820" s="18"/>
      <c r="S820" s="12"/>
      <c r="T820" s="12"/>
      <c r="U820" s="10" t="str">
        <f>HYPERLINK("https://pbs.twimg.com/profile_images/1035873372880752640/z4Jd6-eX.jpg","View")</f>
        <v>View</v>
      </c>
    </row>
    <row r="821" spans="1:21" ht="51">
      <c r="A821" s="6">
        <v>43425.498252314814</v>
      </c>
      <c r="B821" s="7" t="str">
        <f>HYPERLINK("https://twitter.com/JaimeMontes_","@JaimeMontes_")</f>
        <v>@JaimeMontes_</v>
      </c>
      <c r="C821" s="8" t="s">
        <v>3032</v>
      </c>
      <c r="D821" s="9" t="s">
        <v>3033</v>
      </c>
      <c r="E821" s="10" t="str">
        <f>HYPERLINK("https://twitter.com/JaimeMontes_/status/1065333395524395008","1065333395524395008")</f>
        <v>1065333395524395008</v>
      </c>
      <c r="F821" s="17" t="s">
        <v>720</v>
      </c>
      <c r="G821" s="12"/>
      <c r="H821" s="12"/>
      <c r="I821" s="13">
        <v>0</v>
      </c>
      <c r="J821" s="13">
        <v>1</v>
      </c>
      <c r="K821" s="14" t="str">
        <f>HYPERLINK("http://twitter.com/download/android","Twitter for Android")</f>
        <v>Twitter for Android</v>
      </c>
      <c r="L821" s="13">
        <v>406</v>
      </c>
      <c r="M821" s="13">
        <v>665</v>
      </c>
      <c r="N821" s="13">
        <v>2</v>
      </c>
      <c r="O821" s="15"/>
      <c r="P821" s="6">
        <v>40704.551006944443</v>
      </c>
      <c r="Q821" s="17" t="s">
        <v>3034</v>
      </c>
      <c r="R821" s="16" t="s">
        <v>3035</v>
      </c>
      <c r="S821" s="11" t="s">
        <v>3036</v>
      </c>
      <c r="T821" s="12"/>
      <c r="U821" s="10" t="str">
        <f>HYPERLINK("https://pbs.twimg.com/profile_images/1031505073686409217/Ehs_BVln.jpg","View")</f>
        <v>View</v>
      </c>
    </row>
    <row r="822" spans="1:21" ht="20.399999999999999">
      <c r="A822" s="6">
        <v>43425.496516203704</v>
      </c>
      <c r="B822" s="7" t="str">
        <f>HYPERLINK("https://twitter.com/taoista56","@taoista56")</f>
        <v>@taoista56</v>
      </c>
      <c r="C822" s="8" t="s">
        <v>1540</v>
      </c>
      <c r="D822" s="9" t="s">
        <v>3037</v>
      </c>
      <c r="E822" s="10" t="str">
        <f>HYPERLINK("https://twitter.com/taoista56/status/1065332766211039239","1065332766211039239")</f>
        <v>1065332766211039239</v>
      </c>
      <c r="F822" s="11" t="s">
        <v>3038</v>
      </c>
      <c r="G822" s="12"/>
      <c r="H822" s="12"/>
      <c r="I822" s="13">
        <v>0</v>
      </c>
      <c r="J822" s="13">
        <v>0</v>
      </c>
      <c r="K822" s="14" t="str">
        <f>HYPERLINK("http://twitter.com","Twitter Web Client")</f>
        <v>Twitter Web Client</v>
      </c>
      <c r="L822" s="13">
        <v>579</v>
      </c>
      <c r="M822" s="13">
        <v>1914</v>
      </c>
      <c r="N822" s="13">
        <v>6</v>
      </c>
      <c r="O822" s="15"/>
      <c r="P822" s="6">
        <v>40819.501863425925</v>
      </c>
      <c r="Q822" s="17" t="s">
        <v>1541</v>
      </c>
      <c r="R822" s="18"/>
      <c r="S822" s="12"/>
      <c r="T822" s="12"/>
      <c r="U822" s="10" t="str">
        <f>HYPERLINK("https://pbs.twimg.com/profile_images/694232062031740928/1tub_Vsu.png","View")</f>
        <v>View</v>
      </c>
    </row>
    <row r="823" spans="1:21" ht="20.399999999999999">
      <c r="A823" s="6">
        <v>43425.495520833334</v>
      </c>
      <c r="B823" s="7" t="str">
        <f>HYPERLINK("https://twitter.com/attentionwario","@attentionwario")</f>
        <v>@attentionwario</v>
      </c>
      <c r="C823" s="8" t="s">
        <v>2743</v>
      </c>
      <c r="D823" s="9" t="s">
        <v>2744</v>
      </c>
      <c r="E823" s="10" t="str">
        <f>HYPERLINK("https://twitter.com/attentionwario/status/1065332408306810882","1065332408306810882")</f>
        <v>1065332408306810882</v>
      </c>
      <c r="F823" s="12"/>
      <c r="G823" s="12"/>
      <c r="H823" s="12"/>
      <c r="I823" s="13">
        <v>0</v>
      </c>
      <c r="J823" s="13">
        <v>0</v>
      </c>
      <c r="K823" s="14" t="str">
        <f>HYPERLINK("http://twitter.com/download/android","Twitter for Android")</f>
        <v>Twitter for Android</v>
      </c>
      <c r="L823" s="13">
        <v>53</v>
      </c>
      <c r="M823" s="13">
        <v>90</v>
      </c>
      <c r="N823" s="13">
        <v>1</v>
      </c>
      <c r="O823" s="15"/>
      <c r="P823" s="6">
        <v>42502.501203703709</v>
      </c>
      <c r="Q823" s="12"/>
      <c r="R823" s="16" t="s">
        <v>2749</v>
      </c>
      <c r="S823" s="12"/>
      <c r="T823" s="12"/>
      <c r="U823" s="10" t="str">
        <f>HYPERLINK("https://pbs.twimg.com/profile_images/1061626776227586049/xe2tyv7a.jpg","View")</f>
        <v>View</v>
      </c>
    </row>
    <row r="824" spans="1:21" ht="51">
      <c r="A824" s="6">
        <v>43425.495416666672</v>
      </c>
      <c r="B824" s="7" t="str">
        <f>HYPERLINK("https://twitter.com/TurpinNW","@TurpinNW")</f>
        <v>@TurpinNW</v>
      </c>
      <c r="C824" s="8" t="s">
        <v>3039</v>
      </c>
      <c r="D824" s="9" t="s">
        <v>3040</v>
      </c>
      <c r="E824" s="10" t="str">
        <f>HYPERLINK("https://twitter.com/TurpinNW/status/1065332370029641729","1065332370029641729")</f>
        <v>1065332370029641729</v>
      </c>
      <c r="F824" s="12"/>
      <c r="G824" s="12"/>
      <c r="H824" s="12"/>
      <c r="I824" s="13">
        <v>0</v>
      </c>
      <c r="J824" s="13">
        <v>0</v>
      </c>
      <c r="K824" s="14" t="str">
        <f>HYPERLINK("http://twitter.com","Twitter Web Client")</f>
        <v>Twitter Web Client</v>
      </c>
      <c r="L824" s="13">
        <v>1542</v>
      </c>
      <c r="M824" s="13">
        <v>1539</v>
      </c>
      <c r="N824" s="13">
        <v>10</v>
      </c>
      <c r="O824" s="15"/>
      <c r="P824" s="6">
        <v>40860.642881944441</v>
      </c>
      <c r="Q824" s="17" t="s">
        <v>3041</v>
      </c>
      <c r="R824" s="16" t="s">
        <v>3042</v>
      </c>
      <c r="S824" s="12"/>
      <c r="T824" s="12"/>
      <c r="U824" s="10" t="str">
        <f>HYPERLINK("https://pbs.twimg.com/profile_images/613477466485583872/SOBJ7Brd.jpg","View")</f>
        <v>View</v>
      </c>
    </row>
    <row r="825" spans="1:21" ht="51">
      <c r="A825" s="6">
        <v>43425.49417824074</v>
      </c>
      <c r="B825" s="7" t="str">
        <f>HYPERLINK("https://twitter.com/LuisJavierSanj2","@LuisJavierSanj2")</f>
        <v>@LuisJavierSanj2</v>
      </c>
      <c r="C825" s="8" t="s">
        <v>2584</v>
      </c>
      <c r="D825" s="9" t="s">
        <v>3043</v>
      </c>
      <c r="E825" s="10" t="str">
        <f>HYPERLINK("https://twitter.com/LuisJavierSanj2/status/1065331919137767424","1065331919137767424")</f>
        <v>1065331919137767424</v>
      </c>
      <c r="F825" s="11" t="s">
        <v>3044</v>
      </c>
      <c r="G825" s="12"/>
      <c r="H825" s="12"/>
      <c r="I825" s="13">
        <v>5</v>
      </c>
      <c r="J825" s="13">
        <v>1</v>
      </c>
      <c r="K825" s="14" t="str">
        <f t="shared" ref="K825:K826" si="157">HYPERLINK("http://twitter.com/download/android","Twitter for Android")</f>
        <v>Twitter for Android</v>
      </c>
      <c r="L825" s="13">
        <v>809</v>
      </c>
      <c r="M825" s="13">
        <v>1236</v>
      </c>
      <c r="N825" s="13">
        <v>1</v>
      </c>
      <c r="O825" s="15"/>
      <c r="P825" s="6">
        <v>43017.496759259258</v>
      </c>
      <c r="Q825" s="12"/>
      <c r="R825" s="16" t="s">
        <v>2587</v>
      </c>
      <c r="S825" s="12"/>
      <c r="T825" s="12"/>
      <c r="U825" s="10" t="str">
        <f>HYPERLINK("https://pbs.twimg.com/profile_images/983037090681245696/C-KQIcbF.jpg","View")</f>
        <v>View</v>
      </c>
    </row>
    <row r="826" spans="1:21" ht="30.6">
      <c r="A826" s="6">
        <v>43425.493703703702</v>
      </c>
      <c r="B826" s="7" t="str">
        <f>HYPERLINK("https://twitter.com/IndignadosVezla","@IndignadosVezla")</f>
        <v>@IndignadosVezla</v>
      </c>
      <c r="C826" s="8" t="s">
        <v>3045</v>
      </c>
      <c r="D826" s="9" t="s">
        <v>3046</v>
      </c>
      <c r="E826" s="10" t="str">
        <f>HYPERLINK("https://twitter.com/IndignadosVezla/status/1065331749700476928","1065331749700476928")</f>
        <v>1065331749700476928</v>
      </c>
      <c r="F826" s="11" t="s">
        <v>3047</v>
      </c>
      <c r="G826" s="12"/>
      <c r="H826" s="12"/>
      <c r="I826" s="13">
        <v>0</v>
      </c>
      <c r="J826" s="13">
        <v>0</v>
      </c>
      <c r="K826" s="14" t="str">
        <f t="shared" si="157"/>
        <v>Twitter for Android</v>
      </c>
      <c r="L826" s="13">
        <v>156274</v>
      </c>
      <c r="M826" s="13">
        <v>16985</v>
      </c>
      <c r="N826" s="13">
        <v>529</v>
      </c>
      <c r="O826" s="15"/>
      <c r="P826" s="6">
        <v>41457.920937499999</v>
      </c>
      <c r="Q826" s="17" t="s">
        <v>3048</v>
      </c>
      <c r="R826" s="16" t="s">
        <v>3049</v>
      </c>
      <c r="S826" s="12"/>
      <c r="T826" s="12"/>
      <c r="U826" s="10" t="str">
        <f>HYPERLINK("https://pbs.twimg.com/profile_images/1009637178366939137/zC2Gn_1X.jpg","View")</f>
        <v>View</v>
      </c>
    </row>
    <row r="827" spans="1:21" ht="20.399999999999999">
      <c r="A827" s="6">
        <v>43425.480949074074</v>
      </c>
      <c r="B827" s="7" t="str">
        <f>HYPERLINK("https://twitter.com/antoniobernabe","@antoniobernabe")</f>
        <v>@antoniobernabe</v>
      </c>
      <c r="C827" s="8" t="s">
        <v>3050</v>
      </c>
      <c r="D827" s="9" t="s">
        <v>3051</v>
      </c>
      <c r="E827" s="10" t="str">
        <f>HYPERLINK("https://twitter.com/antoniobernabe/status/1065327125937426432","1065327125937426432")</f>
        <v>1065327125937426432</v>
      </c>
      <c r="F827" s="11" t="s">
        <v>3052</v>
      </c>
      <c r="G827" s="12"/>
      <c r="H827" s="12"/>
      <c r="I827" s="13">
        <v>0</v>
      </c>
      <c r="J827" s="13">
        <v>0</v>
      </c>
      <c r="K827" s="14" t="str">
        <f>HYPERLINK("http://www.facebook.com/twitter","Facebook")</f>
        <v>Facebook</v>
      </c>
      <c r="L827" s="13">
        <v>2145</v>
      </c>
      <c r="M827" s="13">
        <v>1732</v>
      </c>
      <c r="N827" s="13">
        <v>35</v>
      </c>
      <c r="O827" s="15"/>
      <c r="P827" s="6">
        <v>40446.261388888888</v>
      </c>
      <c r="Q827" s="12"/>
      <c r="R827" s="16" t="s">
        <v>3053</v>
      </c>
      <c r="S827" s="11" t="s">
        <v>3054</v>
      </c>
      <c r="T827" s="12"/>
      <c r="U827" s="10" t="str">
        <f>HYPERLINK("https://pbs.twimg.com/profile_images/988852544456806400/K94efQB7.jpg","View")</f>
        <v>View</v>
      </c>
    </row>
    <row r="828" spans="1:21" ht="30.6">
      <c r="A828" s="6">
        <v>43425.475590277776</v>
      </c>
      <c r="B828" s="7" t="str">
        <f>HYPERLINK("https://twitter.com/EPcongreso","@EPcongreso")</f>
        <v>@EPcongreso</v>
      </c>
      <c r="C828" s="8" t="s">
        <v>2201</v>
      </c>
      <c r="D828" s="9" t="s">
        <v>3055</v>
      </c>
      <c r="E828" s="10" t="str">
        <f>HYPERLINK("https://twitter.com/EPcongreso/status/1065325186143186944","1065325186143186944")</f>
        <v>1065325186143186944</v>
      </c>
      <c r="F828" s="11" t="s">
        <v>2668</v>
      </c>
      <c r="G828" s="12"/>
      <c r="H828" s="12"/>
      <c r="I828" s="13">
        <v>4</v>
      </c>
      <c r="J828" s="13">
        <v>0</v>
      </c>
      <c r="K828" s="14" t="str">
        <f>HYPERLINK("http://twitter.com","Twitter Web Client")</f>
        <v>Twitter Web Client</v>
      </c>
      <c r="L828" s="13">
        <v>11324</v>
      </c>
      <c r="M828" s="13">
        <v>614</v>
      </c>
      <c r="N828" s="13">
        <v>400</v>
      </c>
      <c r="O828" s="15"/>
      <c r="P828" s="6">
        <v>40784.497511574074</v>
      </c>
      <c r="Q828" s="17" t="s">
        <v>76</v>
      </c>
      <c r="R828" s="16" t="s">
        <v>2204</v>
      </c>
      <c r="S828" s="11" t="s">
        <v>2205</v>
      </c>
      <c r="T828" s="12"/>
      <c r="U828" s="10" t="str">
        <f>HYPERLINK("https://pbs.twimg.com/profile_images/877100964884475904/m1W8CAUp.jpg","View")</f>
        <v>View</v>
      </c>
    </row>
    <row r="829" spans="1:21" ht="40.799999999999997">
      <c r="A829" s="6">
        <v>43425.475057870368</v>
      </c>
      <c r="B829" s="7" t="str">
        <f>HYPERLINK("https://twitter.com/ENTORNOi","@ENTORNOi")</f>
        <v>@ENTORNOi</v>
      </c>
      <c r="C829" s="8" t="s">
        <v>3056</v>
      </c>
      <c r="D829" s="9" t="s">
        <v>3057</v>
      </c>
      <c r="E829" s="10" t="str">
        <f>HYPERLINK("https://twitter.com/ENTORNOi/status/1065324990545911808","1065324990545911808")</f>
        <v>1065324990545911808</v>
      </c>
      <c r="F829" s="11" t="s">
        <v>3058</v>
      </c>
      <c r="G829" s="11" t="s">
        <v>3059</v>
      </c>
      <c r="H829" s="12"/>
      <c r="I829" s="13">
        <v>0</v>
      </c>
      <c r="J829" s="13">
        <v>0</v>
      </c>
      <c r="K829" s="14" t="str">
        <f>HYPERLINK("http://www.entornointeligente.com","NuevoATENTORNOI")</f>
        <v>NuevoATENTORNOI</v>
      </c>
      <c r="L829" s="13">
        <v>133522</v>
      </c>
      <c r="M829" s="13">
        <v>41381</v>
      </c>
      <c r="N829" s="13">
        <v>1277</v>
      </c>
      <c r="O829" s="15"/>
      <c r="P829" s="6">
        <v>39993.708645833336</v>
      </c>
      <c r="Q829" s="17" t="s">
        <v>405</v>
      </c>
      <c r="R829" s="16" t="s">
        <v>3060</v>
      </c>
      <c r="S829" s="11" t="s">
        <v>3061</v>
      </c>
      <c r="T829" s="12"/>
      <c r="U829" s="10" t="str">
        <f>HYPERLINK("https://pbs.twimg.com/profile_images/378800000572518035/83ae37ca851b262228997e87ebfcf97c.png","View")</f>
        <v>View</v>
      </c>
    </row>
    <row r="830" spans="1:21" ht="51">
      <c r="A830" s="6">
        <v>43425.471388888887</v>
      </c>
      <c r="B830" s="7" t="str">
        <f>HYPERLINK("https://twitter.com/RMacutoNews","@RMacutoNews")</f>
        <v>@RMacutoNews</v>
      </c>
      <c r="C830" s="8" t="s">
        <v>3062</v>
      </c>
      <c r="D830" s="9" t="s">
        <v>3063</v>
      </c>
      <c r="E830" s="10" t="str">
        <f>HYPERLINK("https://twitter.com/RMacutoNews/status/1065323660972568576","1065323660972568576")</f>
        <v>1065323660972568576</v>
      </c>
      <c r="F830" s="12"/>
      <c r="G830" s="11" t="s">
        <v>3064</v>
      </c>
      <c r="H830" s="12"/>
      <c r="I830" s="13">
        <v>0</v>
      </c>
      <c r="J830" s="13">
        <v>0</v>
      </c>
      <c r="K830" s="14" t="str">
        <f>HYPERLINK("http://twitter.com","Twitter Web Client")</f>
        <v>Twitter Web Client</v>
      </c>
      <c r="L830" s="13">
        <v>191</v>
      </c>
      <c r="M830" s="13">
        <v>311</v>
      </c>
      <c r="N830" s="13">
        <v>1</v>
      </c>
      <c r="O830" s="15"/>
      <c r="P830" s="6">
        <v>42583.371585648143</v>
      </c>
      <c r="Q830" s="17" t="s">
        <v>29</v>
      </c>
      <c r="R830" s="16" t="s">
        <v>3065</v>
      </c>
      <c r="S830" s="12"/>
      <c r="T830" s="12"/>
      <c r="U830" s="10" t="str">
        <f>HYPERLINK("https://pbs.twimg.com/profile_images/760148641482964992/fT40c5p4.jpg","View")</f>
        <v>View</v>
      </c>
    </row>
    <row r="831" spans="1:21" ht="20.399999999999999">
      <c r="A831" s="6">
        <v>43425.469780092593</v>
      </c>
      <c r="B831" s="7" t="str">
        <f>HYPERLINK("https://twitter.com/manufa1955","@manufa1955")</f>
        <v>@manufa1955</v>
      </c>
      <c r="C831" s="8" t="s">
        <v>3066</v>
      </c>
      <c r="D831" s="9" t="s">
        <v>3067</v>
      </c>
      <c r="E831" s="10" t="str">
        <f>HYPERLINK("https://twitter.com/manufa1955/status/1065323080979894272","1065323080979894272")</f>
        <v>1065323080979894272</v>
      </c>
      <c r="F831" s="11" t="s">
        <v>320</v>
      </c>
      <c r="G831" s="12"/>
      <c r="H831" s="12"/>
      <c r="I831" s="13">
        <v>0</v>
      </c>
      <c r="J831" s="13">
        <v>0</v>
      </c>
      <c r="K831" s="14" t="str">
        <f>HYPERLINK("http://www.facebook.com/twitter","Facebook")</f>
        <v>Facebook</v>
      </c>
      <c r="L831" s="13">
        <v>176</v>
      </c>
      <c r="M831" s="13">
        <v>48</v>
      </c>
      <c r="N831" s="13">
        <v>6</v>
      </c>
      <c r="O831" s="15"/>
      <c r="P831" s="6">
        <v>40460.599108796298</v>
      </c>
      <c r="Q831" s="17" t="s">
        <v>3068</v>
      </c>
      <c r="R831" s="18"/>
      <c r="S831" s="11" t="s">
        <v>3069</v>
      </c>
      <c r="T831" s="12"/>
      <c r="U831" s="10" t="str">
        <f>HYPERLINK("https://pbs.twimg.com/profile_images/3556471273/b12f18f17841bf308162a9bc287448d3.jpeg","View")</f>
        <v>View</v>
      </c>
    </row>
    <row r="832" spans="1:21" ht="40.799999999999997">
      <c r="A832" s="6">
        <v>43425.469525462962</v>
      </c>
      <c r="B832" s="7" t="str">
        <f>HYPERLINK("https://twitter.com/csharlos","@csharlos")</f>
        <v>@csharlos</v>
      </c>
      <c r="C832" s="8" t="s">
        <v>3070</v>
      </c>
      <c r="D832" s="9" t="s">
        <v>3071</v>
      </c>
      <c r="E832" s="10" t="str">
        <f>HYPERLINK("https://twitter.com/csharlos/status/1065322986855694336","1065322986855694336")</f>
        <v>1065322986855694336</v>
      </c>
      <c r="F832" s="12"/>
      <c r="G832" s="12"/>
      <c r="H832" s="12"/>
      <c r="I832" s="13">
        <v>0</v>
      </c>
      <c r="J832" s="13">
        <v>1</v>
      </c>
      <c r="K832" s="14" t="str">
        <f t="shared" ref="K832:K836" si="158">HYPERLINK("http://twitter.com/download/android","Twitter for Android")</f>
        <v>Twitter for Android</v>
      </c>
      <c r="L832" s="13">
        <v>357</v>
      </c>
      <c r="M832" s="13">
        <v>1203</v>
      </c>
      <c r="N832" s="13">
        <v>2</v>
      </c>
      <c r="O832" s="15"/>
      <c r="P832" s="6">
        <v>40663.23474537037</v>
      </c>
      <c r="Q832" s="12"/>
      <c r="R832" s="16" t="s">
        <v>3072</v>
      </c>
      <c r="S832" s="11" t="s">
        <v>3073</v>
      </c>
      <c r="T832" s="12"/>
      <c r="U832" s="10" t="str">
        <f>HYPERLINK("https://pbs.twimg.com/profile_images/378800000123725912/3a87c5440cd771cc87e551f5470ca5cb.jpeg","View")</f>
        <v>View</v>
      </c>
    </row>
    <row r="833" spans="1:21" ht="40.799999999999997">
      <c r="A833" s="6">
        <v>43425.467546296291</v>
      </c>
      <c r="B833" s="7" t="str">
        <f>HYPERLINK("https://twitter.com/SergiShy","@SergiShy")</f>
        <v>@SergiShy</v>
      </c>
      <c r="C833" s="8" t="s">
        <v>3074</v>
      </c>
      <c r="D833" s="9" t="s">
        <v>3075</v>
      </c>
      <c r="E833" s="10" t="str">
        <f>HYPERLINK("https://twitter.com/SergiShy/status/1065322268325224448","1065322268325224448")</f>
        <v>1065322268325224448</v>
      </c>
      <c r="F833" s="12"/>
      <c r="G833" s="12"/>
      <c r="H833" s="12"/>
      <c r="I833" s="13">
        <v>0</v>
      </c>
      <c r="J833" s="13">
        <v>0</v>
      </c>
      <c r="K833" s="14" t="str">
        <f t="shared" si="158"/>
        <v>Twitter for Android</v>
      </c>
      <c r="L833" s="13">
        <v>160</v>
      </c>
      <c r="M833" s="13">
        <v>367</v>
      </c>
      <c r="N833" s="13">
        <v>15</v>
      </c>
      <c r="O833" s="15"/>
      <c r="P833" s="6">
        <v>41413.636643518519</v>
      </c>
      <c r="Q833" s="17" t="s">
        <v>3076</v>
      </c>
      <c r="R833" s="16" t="s">
        <v>3077</v>
      </c>
      <c r="S833" s="12"/>
      <c r="T833" s="12"/>
      <c r="U833" s="10" t="str">
        <f>HYPERLINK("https://pbs.twimg.com/profile_images/463053676290904064/1PA7Nxdt.jpeg","View")</f>
        <v>View</v>
      </c>
    </row>
    <row r="834" spans="1:21" ht="51">
      <c r="A834" s="6">
        <v>43425.466921296298</v>
      </c>
      <c r="B834" s="7" t="str">
        <f>HYPERLINK("https://twitter.com/psoefondon","@psoefondon")</f>
        <v>@psoefondon</v>
      </c>
      <c r="C834" s="8" t="s">
        <v>3078</v>
      </c>
      <c r="D834" s="9" t="s">
        <v>3079</v>
      </c>
      <c r="E834" s="10" t="str">
        <f>HYPERLINK("https://twitter.com/psoefondon/status/1065322041484681217","1065322041484681217")</f>
        <v>1065322041484681217</v>
      </c>
      <c r="F834" s="12"/>
      <c r="G834" s="11" t="s">
        <v>3080</v>
      </c>
      <c r="H834" s="12"/>
      <c r="I834" s="13">
        <v>0</v>
      </c>
      <c r="J834" s="13">
        <v>0</v>
      </c>
      <c r="K834" s="14" t="str">
        <f t="shared" si="158"/>
        <v>Twitter for Android</v>
      </c>
      <c r="L834" s="13">
        <v>184</v>
      </c>
      <c r="M834" s="13">
        <v>229</v>
      </c>
      <c r="N834" s="13">
        <v>1</v>
      </c>
      <c r="O834" s="15"/>
      <c r="P834" s="6">
        <v>41014.16270833333</v>
      </c>
      <c r="Q834" s="17" t="s">
        <v>3081</v>
      </c>
      <c r="R834" s="16" t="s">
        <v>3082</v>
      </c>
      <c r="S834" s="11" t="s">
        <v>3083</v>
      </c>
      <c r="T834" s="12"/>
      <c r="U834" s="10" t="str">
        <f>HYPERLINK("https://pbs.twimg.com/profile_images/1063771654877261824/IyQrANUw.jpg","View")</f>
        <v>View</v>
      </c>
    </row>
    <row r="835" spans="1:21" ht="51">
      <c r="A835" s="6">
        <v>43425.464571759258</v>
      </c>
      <c r="B835" s="7" t="str">
        <f>HYPERLINK("https://twitter.com/Juliof_Artillo","@Juliof_Artillo")</f>
        <v>@Juliof_Artillo</v>
      </c>
      <c r="C835" s="8" t="s">
        <v>3084</v>
      </c>
      <c r="D835" s="9" t="s">
        <v>3085</v>
      </c>
      <c r="E835" s="10" t="str">
        <f>HYPERLINK("https://twitter.com/Juliof_Artillo/status/1065321192440107008","1065321192440107008")</f>
        <v>1065321192440107008</v>
      </c>
      <c r="F835" s="12"/>
      <c r="G835" s="12"/>
      <c r="H835" s="12"/>
      <c r="I835" s="13">
        <v>0</v>
      </c>
      <c r="J835" s="13">
        <v>0</v>
      </c>
      <c r="K835" s="14" t="str">
        <f t="shared" si="158"/>
        <v>Twitter for Android</v>
      </c>
      <c r="L835" s="13">
        <v>655</v>
      </c>
      <c r="M835" s="13">
        <v>2817</v>
      </c>
      <c r="N835" s="13">
        <v>1</v>
      </c>
      <c r="O835" s="15"/>
      <c r="P835" s="6">
        <v>43016.297465277778</v>
      </c>
      <c r="Q835" s="17" t="s">
        <v>3086</v>
      </c>
      <c r="R835" s="16" t="s">
        <v>3087</v>
      </c>
      <c r="S835" s="12"/>
      <c r="T835" s="12"/>
      <c r="U835" s="10" t="str">
        <f>HYPERLINK("https://pbs.twimg.com/profile_images/917253484382171136/HCPoVqkz.jpg","View")</f>
        <v>View</v>
      </c>
    </row>
    <row r="836" spans="1:21" ht="40.799999999999997">
      <c r="A836" s="6">
        <v>43425.462094907409</v>
      </c>
      <c r="B836" s="7" t="str">
        <f>HYPERLINK("https://twitter.com/ManuelVM69","@ManuelVM69")</f>
        <v>@ManuelVM69</v>
      </c>
      <c r="C836" s="8" t="s">
        <v>3088</v>
      </c>
      <c r="D836" s="9" t="s">
        <v>3089</v>
      </c>
      <c r="E836" s="10" t="str">
        <f>HYPERLINK("https://twitter.com/ManuelVM69/status/1065320293898625025","1065320293898625025")</f>
        <v>1065320293898625025</v>
      </c>
      <c r="F836" s="12"/>
      <c r="G836" s="12"/>
      <c r="H836" s="12"/>
      <c r="I836" s="13">
        <v>5</v>
      </c>
      <c r="J836" s="13">
        <v>2</v>
      </c>
      <c r="K836" s="14" t="str">
        <f t="shared" si="158"/>
        <v>Twitter for Android</v>
      </c>
      <c r="L836" s="13">
        <v>1398</v>
      </c>
      <c r="M836" s="13">
        <v>1123</v>
      </c>
      <c r="N836" s="13">
        <v>1</v>
      </c>
      <c r="O836" s="15"/>
      <c r="P836" s="6">
        <v>42563.437974537039</v>
      </c>
      <c r="Q836" s="17" t="s">
        <v>3090</v>
      </c>
      <c r="R836" s="16" t="s">
        <v>3091</v>
      </c>
      <c r="S836" s="12"/>
      <c r="T836" s="12"/>
      <c r="U836" s="10" t="str">
        <f>HYPERLINK("https://pbs.twimg.com/profile_images/1058785037028597760/-ROpHIoM.jpg","View")</f>
        <v>View</v>
      </c>
    </row>
    <row r="837" spans="1:21" ht="40.799999999999997">
      <c r="A837" s="6">
        <v>43425.458703703705</v>
      </c>
      <c r="B837" s="7" t="str">
        <f>HYPERLINK("https://twitter.com/psoefondon","@psoefondon")</f>
        <v>@psoefondon</v>
      </c>
      <c r="C837" s="8" t="s">
        <v>3078</v>
      </c>
      <c r="D837" s="9" t="s">
        <v>3092</v>
      </c>
      <c r="E837" s="10" t="str">
        <f>HYPERLINK("https://twitter.com/psoefondon/status/1065319067408625664","1065319067408625664")</f>
        <v>1065319067408625664</v>
      </c>
      <c r="F837" s="11" t="s">
        <v>3093</v>
      </c>
      <c r="G837" s="12"/>
      <c r="H837" s="12"/>
      <c r="I837" s="13">
        <v>0</v>
      </c>
      <c r="J837" s="13">
        <v>0</v>
      </c>
      <c r="K837" s="14" t="str">
        <f>HYPERLINK("http://www.facebook.com/twitter","Facebook")</f>
        <v>Facebook</v>
      </c>
      <c r="L837" s="13">
        <v>184</v>
      </c>
      <c r="M837" s="13">
        <v>229</v>
      </c>
      <c r="N837" s="13">
        <v>1</v>
      </c>
      <c r="O837" s="15"/>
      <c r="P837" s="6">
        <v>41014.16270833333</v>
      </c>
      <c r="Q837" s="17" t="s">
        <v>3081</v>
      </c>
      <c r="R837" s="16" t="s">
        <v>3082</v>
      </c>
      <c r="S837" s="11" t="s">
        <v>3083</v>
      </c>
      <c r="T837" s="12"/>
      <c r="U837" s="10" t="str">
        <f>HYPERLINK("https://pbs.twimg.com/profile_images/1063771654877261824/IyQrANUw.jpg","View")</f>
        <v>View</v>
      </c>
    </row>
    <row r="838" spans="1:21" ht="81.599999999999994">
      <c r="A838" s="6">
        <v>43425.45857638889</v>
      </c>
      <c r="B838" s="7" t="str">
        <f>HYPERLINK("https://twitter.com/ferlopezmar","@ferlopezmar")</f>
        <v>@ferlopezmar</v>
      </c>
      <c r="C838" s="8" t="s">
        <v>3094</v>
      </c>
      <c r="D838" s="9" t="s">
        <v>3095</v>
      </c>
      <c r="E838" s="10" t="str">
        <f>HYPERLINK("https://twitter.com/ferlopezmar/status/1065319017307676672","1065319017307676672")</f>
        <v>1065319017307676672</v>
      </c>
      <c r="F838" s="11" t="s">
        <v>966</v>
      </c>
      <c r="G838" s="11" t="s">
        <v>967</v>
      </c>
      <c r="H838" s="12"/>
      <c r="I838" s="13">
        <v>10</v>
      </c>
      <c r="J838" s="13">
        <v>9</v>
      </c>
      <c r="K838" s="14" t="str">
        <f>HYPERLINK("http://twitter.com/#!/download/ipad","Twitter for iPad")</f>
        <v>Twitter for iPad</v>
      </c>
      <c r="L838" s="13">
        <v>8527</v>
      </c>
      <c r="M838" s="13">
        <v>7196</v>
      </c>
      <c r="N838" s="13">
        <v>97</v>
      </c>
      <c r="O838" s="15"/>
      <c r="P838" s="6">
        <v>40640.366249999999</v>
      </c>
      <c r="Q838" s="17" t="s">
        <v>3096</v>
      </c>
      <c r="R838" s="16" t="s">
        <v>3097</v>
      </c>
      <c r="S838" s="12"/>
      <c r="T838" s="12"/>
      <c r="U838" s="10" t="str">
        <f>HYPERLINK("https://pbs.twimg.com/profile_images/454697018347515904/jMF4_85M.jpeg","View")</f>
        <v>View</v>
      </c>
    </row>
    <row r="839" spans="1:21" ht="51">
      <c r="A839" s="6">
        <v>43425.453912037032</v>
      </c>
      <c r="B839" s="7" t="str">
        <f>HYPERLINK("https://twitter.com/Abejorro69","@Abejorro69")</f>
        <v>@Abejorro69</v>
      </c>
      <c r="C839" s="8" t="s">
        <v>3100</v>
      </c>
      <c r="D839" s="9" t="s">
        <v>3101</v>
      </c>
      <c r="E839" s="10" t="str">
        <f>HYPERLINK("https://twitter.com/Abejorro69/status/1065317330010423296","1065317330010423296")</f>
        <v>1065317330010423296</v>
      </c>
      <c r="F839" s="12"/>
      <c r="G839" s="12"/>
      <c r="H839" s="12"/>
      <c r="I839" s="13">
        <v>0</v>
      </c>
      <c r="J839" s="13">
        <v>1</v>
      </c>
      <c r="K839" s="14" t="str">
        <f>HYPERLINK("http://twitter.com","Twitter Web Client")</f>
        <v>Twitter Web Client</v>
      </c>
      <c r="L839" s="13">
        <v>5061</v>
      </c>
      <c r="M839" s="13">
        <v>3659</v>
      </c>
      <c r="N839" s="13">
        <v>52</v>
      </c>
      <c r="O839" s="15"/>
      <c r="P839" s="6">
        <v>40208.373437499999</v>
      </c>
      <c r="Q839" s="17" t="s">
        <v>3102</v>
      </c>
      <c r="R839" s="18"/>
      <c r="S839" s="12"/>
      <c r="T839" s="12"/>
      <c r="U839" s="10" t="str">
        <f>HYPERLINK("https://pbs.twimg.com/profile_images/994603644766031872/5ckiAlY2.jpg","View")</f>
        <v>View</v>
      </c>
    </row>
    <row r="840" spans="1:21" ht="51">
      <c r="A840" s="6">
        <v>43425.441990740743</v>
      </c>
      <c r="B840" s="7" t="str">
        <f>HYPERLINK("https://twitter.com/EmeritusZombie","@EmeritusZombie")</f>
        <v>@EmeritusZombie</v>
      </c>
      <c r="C840" s="8" t="s">
        <v>3103</v>
      </c>
      <c r="D840" s="9" t="s">
        <v>3104</v>
      </c>
      <c r="E840" s="10" t="str">
        <f>HYPERLINK("https://twitter.com/EmeritusZombie/status/1065313010162573312","1065313010162573312")</f>
        <v>1065313010162573312</v>
      </c>
      <c r="F840" s="12"/>
      <c r="G840" s="12"/>
      <c r="H840" s="12"/>
      <c r="I840" s="13">
        <v>0</v>
      </c>
      <c r="J840" s="13">
        <v>0</v>
      </c>
      <c r="K840" s="14" t="str">
        <f>HYPERLINK("http://twitter.com/download/android","Twitter for Android")</f>
        <v>Twitter for Android</v>
      </c>
      <c r="L840" s="13">
        <v>347</v>
      </c>
      <c r="M840" s="13">
        <v>729</v>
      </c>
      <c r="N840" s="13">
        <v>1</v>
      </c>
      <c r="O840" s="15"/>
      <c r="P840" s="6">
        <v>43109.233587962968</v>
      </c>
      <c r="Q840" s="17" t="s">
        <v>3105</v>
      </c>
      <c r="R840" s="16" t="s">
        <v>3106</v>
      </c>
      <c r="S840" s="12"/>
      <c r="T840" s="12"/>
      <c r="U840" s="10" t="str">
        <f>HYPERLINK("https://pbs.twimg.com/profile_images/1052492732067921920/93PzpZ9X.jpg","View")</f>
        <v>View</v>
      </c>
    </row>
    <row r="841" spans="1:21" ht="20.399999999999999">
      <c r="A841" s="6">
        <v>43425.433981481481</v>
      </c>
      <c r="B841" s="7" t="str">
        <f>HYPERLINK("https://twitter.com/Jacobo7elbobo","@Jacobo7elbobo")</f>
        <v>@Jacobo7elbobo</v>
      </c>
      <c r="C841" s="8" t="s">
        <v>3107</v>
      </c>
      <c r="D841" s="9" t="s">
        <v>3108</v>
      </c>
      <c r="E841" s="10" t="str">
        <f>HYPERLINK("https://twitter.com/Jacobo7elbobo/status/1065310104302555137","1065310104302555137")</f>
        <v>1065310104302555137</v>
      </c>
      <c r="F841" s="11" t="s">
        <v>3109</v>
      </c>
      <c r="G841" s="12"/>
      <c r="H841" s="12"/>
      <c r="I841" s="13">
        <v>1</v>
      </c>
      <c r="J841" s="13">
        <v>1</v>
      </c>
      <c r="K841" s="14" t="str">
        <f>HYPERLINK("http://twitter.com","Twitter Web Client")</f>
        <v>Twitter Web Client</v>
      </c>
      <c r="L841" s="13">
        <v>5397</v>
      </c>
      <c r="M841" s="13">
        <v>5149</v>
      </c>
      <c r="N841" s="13">
        <v>6</v>
      </c>
      <c r="O841" s="15"/>
      <c r="P841" s="6">
        <v>42315.618460648147</v>
      </c>
      <c r="Q841" s="17" t="s">
        <v>3110</v>
      </c>
      <c r="R841" s="16" t="s">
        <v>3111</v>
      </c>
      <c r="S841" s="12"/>
      <c r="T841" s="12"/>
      <c r="U841" s="10" t="str">
        <f>HYPERLINK("https://pbs.twimg.com/profile_images/972809079289675776/alLBdem6.jpg","View")</f>
        <v>View</v>
      </c>
    </row>
    <row r="842" spans="1:21" ht="71.400000000000006">
      <c r="A842" s="6">
        <v>43425.423912037033</v>
      </c>
      <c r="B842" s="7" t="str">
        <f>HYPERLINK("https://twitter.com/alvarocg98","@alvarocg98")</f>
        <v>@alvarocg98</v>
      </c>
      <c r="C842" s="8" t="s">
        <v>3112</v>
      </c>
      <c r="D842" s="9" t="s">
        <v>3113</v>
      </c>
      <c r="E842" s="10" t="str">
        <f>HYPERLINK("https://twitter.com/alvarocg98/status/1065306456210227200","1065306456210227200")</f>
        <v>1065306456210227200</v>
      </c>
      <c r="F842" s="17" t="s">
        <v>3114</v>
      </c>
      <c r="G842" s="12"/>
      <c r="H842" s="12"/>
      <c r="I842" s="13">
        <v>0</v>
      </c>
      <c r="J842" s="13">
        <v>1</v>
      </c>
      <c r="K842" s="14" t="str">
        <f>HYPERLINK("http://twitter.com/download/android","Twitter for Android")</f>
        <v>Twitter for Android</v>
      </c>
      <c r="L842" s="13">
        <v>163</v>
      </c>
      <c r="M842" s="13">
        <v>142</v>
      </c>
      <c r="N842" s="13">
        <v>0</v>
      </c>
      <c r="O842" s="15"/>
      <c r="P842" s="6">
        <v>41210.309641203705</v>
      </c>
      <c r="Q842" s="12"/>
      <c r="R842" s="16" t="s">
        <v>3115</v>
      </c>
      <c r="S842" s="12"/>
      <c r="T842" s="12"/>
      <c r="U842" s="10" t="str">
        <f>HYPERLINK("https://pbs.twimg.com/profile_images/1052301386048659456/HHogtzJb.jpg","View")</f>
        <v>View</v>
      </c>
    </row>
    <row r="843" spans="1:21" ht="13.2">
      <c r="A843" s="6">
        <v>43425.423472222217</v>
      </c>
      <c r="B843" s="7" t="str">
        <f>HYPERLINK("https://twitter.com/enfermeroenfada","@enfermeroenfada")</f>
        <v>@enfermeroenfada</v>
      </c>
      <c r="C843" s="8" t="s">
        <v>3116</v>
      </c>
      <c r="D843" s="9" t="s">
        <v>3117</v>
      </c>
      <c r="E843" s="10" t="str">
        <f>HYPERLINK("https://twitter.com/enfermeroenfada/status/1065306297845932032","1065306297845932032")</f>
        <v>1065306297845932032</v>
      </c>
      <c r="F843" s="11" t="s">
        <v>3118</v>
      </c>
      <c r="G843" s="12"/>
      <c r="H843" s="12"/>
      <c r="I843" s="13">
        <v>1</v>
      </c>
      <c r="J843" s="13">
        <v>0</v>
      </c>
      <c r="K843" s="14" t="str">
        <f>HYPERLINK("http://twitter.com","Twitter Web Client")</f>
        <v>Twitter Web Client</v>
      </c>
      <c r="L843" s="13">
        <v>1456</v>
      </c>
      <c r="M843" s="13">
        <v>693</v>
      </c>
      <c r="N843" s="13">
        <v>56</v>
      </c>
      <c r="O843" s="15"/>
      <c r="P843" s="6">
        <v>40953.03634259259</v>
      </c>
      <c r="Q843" s="17" t="s">
        <v>3119</v>
      </c>
      <c r="R843" s="18"/>
      <c r="S843" s="12"/>
      <c r="T843" s="12"/>
      <c r="U843" s="10" t="str">
        <f>HYPERLINK("https://pbs.twimg.com/profile_images/1833265279/enfermero18.jpg","View")</f>
        <v>View</v>
      </c>
    </row>
    <row r="844" spans="1:21" ht="51">
      <c r="A844" s="6">
        <v>43425.421134259261</v>
      </c>
      <c r="B844" s="7" t="str">
        <f>HYPERLINK("https://twitter.com/_anamc99","@_anamc99")</f>
        <v>@_anamc99</v>
      </c>
      <c r="C844" s="8" t="s">
        <v>3120</v>
      </c>
      <c r="D844" s="9" t="s">
        <v>3121</v>
      </c>
      <c r="E844" s="10" t="str">
        <f>HYPERLINK("https://twitter.com/_anamc99/status/1065305452085420033","1065305452085420033")</f>
        <v>1065305452085420033</v>
      </c>
      <c r="F844" s="17" t="s">
        <v>3122</v>
      </c>
      <c r="G844" s="12"/>
      <c r="H844" s="12"/>
      <c r="I844" s="13">
        <v>0</v>
      </c>
      <c r="J844" s="13">
        <v>1</v>
      </c>
      <c r="K844" s="14" t="str">
        <f>HYPERLINK("https://mobile.twitter.com","Twitter Lite")</f>
        <v>Twitter Lite</v>
      </c>
      <c r="L844" s="13">
        <v>444</v>
      </c>
      <c r="M844" s="13">
        <v>249</v>
      </c>
      <c r="N844" s="13">
        <v>6</v>
      </c>
      <c r="O844" s="15"/>
      <c r="P844" s="6">
        <v>41451.304143518515</v>
      </c>
      <c r="Q844" s="17" t="s">
        <v>3123</v>
      </c>
      <c r="R844" s="16" t="s">
        <v>3124</v>
      </c>
      <c r="S844" s="12"/>
      <c r="T844" s="12"/>
      <c r="U844" s="10" t="str">
        <f>HYPERLINK("https://pbs.twimg.com/profile_images/1060687685386420224/92yyNopf.jpg","View")</f>
        <v>View</v>
      </c>
    </row>
    <row r="845" spans="1:21" ht="51">
      <c r="A845" s="6">
        <v>43425.419583333336</v>
      </c>
      <c r="B845" s="7" t="str">
        <f>HYPERLINK("https://twitter.com/carthografo","@carthografo")</f>
        <v>@carthografo</v>
      </c>
      <c r="C845" s="8" t="s">
        <v>3125</v>
      </c>
      <c r="D845" s="9" t="s">
        <v>3126</v>
      </c>
      <c r="E845" s="10" t="str">
        <f>HYPERLINK("https://twitter.com/carthografo/status/1065304886835904513","1065304886835904513")</f>
        <v>1065304886835904513</v>
      </c>
      <c r="F845" s="12"/>
      <c r="G845" s="12"/>
      <c r="H845" s="12"/>
      <c r="I845" s="13">
        <v>0</v>
      </c>
      <c r="J845" s="13">
        <v>0</v>
      </c>
      <c r="K845" s="14" t="str">
        <f>HYPERLINK("http://twitter.com","Twitter Web Client")</f>
        <v>Twitter Web Client</v>
      </c>
      <c r="L845" s="13">
        <v>2412</v>
      </c>
      <c r="M845" s="13">
        <v>3134</v>
      </c>
      <c r="N845" s="13">
        <v>62</v>
      </c>
      <c r="O845" s="15"/>
      <c r="P845" s="6">
        <v>42170.439317129625</v>
      </c>
      <c r="Q845" s="12"/>
      <c r="R845" s="16" t="s">
        <v>3127</v>
      </c>
      <c r="S845" s="12"/>
      <c r="T845" s="12"/>
      <c r="U845" s="10" t="str">
        <f>HYPERLINK("https://pbs.twimg.com/profile_images/997927358823845888/CPLpqiUl.jpg","View")</f>
        <v>View</v>
      </c>
    </row>
    <row r="846" spans="1:21" ht="51">
      <c r="A846" s="6">
        <v>43425.418981481482</v>
      </c>
      <c r="B846" s="7" t="str">
        <f>HYPERLINK("https://twitter.com/gines_rico","@gines_rico")</f>
        <v>@gines_rico</v>
      </c>
      <c r="C846" s="8" t="s">
        <v>3128</v>
      </c>
      <c r="D846" s="9" t="s">
        <v>3129</v>
      </c>
      <c r="E846" s="10" t="str">
        <f>HYPERLINK("https://twitter.com/gines_rico/status/1065304668388110336","1065304668388110336")</f>
        <v>1065304668388110336</v>
      </c>
      <c r="F846" s="12"/>
      <c r="G846" s="11" t="s">
        <v>3130</v>
      </c>
      <c r="H846" s="12"/>
      <c r="I846" s="13">
        <v>2</v>
      </c>
      <c r="J846" s="13">
        <v>2</v>
      </c>
      <c r="K846" s="14" t="str">
        <f t="shared" ref="K846:K847" si="159">HYPERLINK("http://twitter.com/download/android","Twitter for Android")</f>
        <v>Twitter for Android</v>
      </c>
      <c r="L846" s="13">
        <v>2784</v>
      </c>
      <c r="M846" s="13">
        <v>4993</v>
      </c>
      <c r="N846" s="13">
        <v>13</v>
      </c>
      <c r="O846" s="15"/>
      <c r="P846" s="6">
        <v>40903.176192129627</v>
      </c>
      <c r="Q846" s="17" t="s">
        <v>3131</v>
      </c>
      <c r="R846" s="16" t="s">
        <v>3132</v>
      </c>
      <c r="S846" s="12"/>
      <c r="T846" s="12"/>
      <c r="U846" s="10" t="str">
        <f>HYPERLINK("https://pbs.twimg.com/profile_images/1028734777174777856/OkaO-pKT.jpg","View")</f>
        <v>View</v>
      </c>
    </row>
    <row r="847" spans="1:21" ht="51">
      <c r="A847" s="6">
        <v>43425.416678240741</v>
      </c>
      <c r="B847" s="7" t="str">
        <f>HYPERLINK("https://twitter.com/andugarte","@andugarte")</f>
        <v>@andugarte</v>
      </c>
      <c r="C847" s="8" t="s">
        <v>3133</v>
      </c>
      <c r="D847" s="9" t="s">
        <v>3134</v>
      </c>
      <c r="E847" s="10" t="str">
        <f>HYPERLINK("https://twitter.com/andugarte/status/1065303834472472577","1065303834472472577")</f>
        <v>1065303834472472577</v>
      </c>
      <c r="F847" s="12"/>
      <c r="G847" s="12"/>
      <c r="H847" s="12"/>
      <c r="I847" s="13">
        <v>0</v>
      </c>
      <c r="J847" s="13">
        <v>0</v>
      </c>
      <c r="K847" s="14" t="str">
        <f t="shared" si="159"/>
        <v>Twitter for Android</v>
      </c>
      <c r="L847" s="13">
        <v>204</v>
      </c>
      <c r="M847" s="13">
        <v>540</v>
      </c>
      <c r="N847" s="13">
        <v>0</v>
      </c>
      <c r="O847" s="15"/>
      <c r="P847" s="6">
        <v>42627.292430555557</v>
      </c>
      <c r="Q847" s="17" t="s">
        <v>3135</v>
      </c>
      <c r="R847" s="16" t="s">
        <v>3136</v>
      </c>
      <c r="S847" s="11" t="s">
        <v>3137</v>
      </c>
      <c r="T847" s="12"/>
      <c r="U847" s="10" t="str">
        <f>HYPERLINK("https://pbs.twimg.com/profile_images/1055223802001612800/xA7tPc9X.jpg","View")</f>
        <v>View</v>
      </c>
    </row>
    <row r="848" spans="1:21" ht="40.799999999999997">
      <c r="A848" s="6">
        <v>43425.415636574078</v>
      </c>
      <c r="B848" s="7" t="str">
        <f>HYPERLINK("https://twitter.com/fermont1965","@fermont1965")</f>
        <v>@fermont1965</v>
      </c>
      <c r="C848" s="8" t="s">
        <v>3138</v>
      </c>
      <c r="D848" s="9" t="s">
        <v>3139</v>
      </c>
      <c r="E848" s="10" t="str">
        <f>HYPERLINK("https://twitter.com/fermont1965/status/1065303457450680320","1065303457450680320")</f>
        <v>1065303457450680320</v>
      </c>
      <c r="F848" s="12"/>
      <c r="G848" s="11" t="s">
        <v>3140</v>
      </c>
      <c r="H848" s="12"/>
      <c r="I848" s="13">
        <v>3</v>
      </c>
      <c r="J848" s="13">
        <v>9</v>
      </c>
      <c r="K848" s="14" t="str">
        <f>HYPERLINK("http://twitter.com","Twitter Web Client")</f>
        <v>Twitter Web Client</v>
      </c>
      <c r="L848" s="13">
        <v>35300</v>
      </c>
      <c r="M848" s="13">
        <v>9087</v>
      </c>
      <c r="N848" s="13">
        <v>301</v>
      </c>
      <c r="O848" s="15"/>
      <c r="P848" s="6">
        <v>40608.385115740741</v>
      </c>
      <c r="Q848" s="17" t="s">
        <v>635</v>
      </c>
      <c r="R848" s="16" t="s">
        <v>3141</v>
      </c>
      <c r="S848" s="12"/>
      <c r="T848" s="12"/>
      <c r="U848" s="10" t="str">
        <f>HYPERLINK("https://pbs.twimg.com/profile_images/617818600326438912/_o-dirdy.jpg","View")</f>
        <v>View</v>
      </c>
    </row>
    <row r="849" spans="1:21" ht="20.399999999999999">
      <c r="A849" s="6">
        <v>43425.411041666666</v>
      </c>
      <c r="B849" s="7" t="str">
        <f>HYPERLINK("https://twitter.com/skakeofanzine","@skakeofanzine")</f>
        <v>@skakeofanzine</v>
      </c>
      <c r="C849" s="8" t="s">
        <v>3142</v>
      </c>
      <c r="D849" s="9" t="s">
        <v>3143</v>
      </c>
      <c r="E849" s="10" t="str">
        <f>HYPERLINK("https://twitter.com/skakeofanzine/status/1065301793675071488","1065301793675071488")</f>
        <v>1065301793675071488</v>
      </c>
      <c r="F849" s="12"/>
      <c r="G849" s="11" t="s">
        <v>3144</v>
      </c>
      <c r="H849" s="12"/>
      <c r="I849" s="13">
        <v>3</v>
      </c>
      <c r="J849" s="13">
        <v>0</v>
      </c>
      <c r="K849" s="14" t="str">
        <f>HYPERLINK("http://twitter.com/download/android","Twitter for Android")</f>
        <v>Twitter for Android</v>
      </c>
      <c r="L849" s="13">
        <v>2205</v>
      </c>
      <c r="M849" s="13">
        <v>1196</v>
      </c>
      <c r="N849" s="13">
        <v>43</v>
      </c>
      <c r="O849" s="15"/>
      <c r="P849" s="6">
        <v>40445.277233796296</v>
      </c>
      <c r="Q849" s="17" t="s">
        <v>215</v>
      </c>
      <c r="R849" s="16" t="s">
        <v>3145</v>
      </c>
      <c r="S849" s="11" t="s">
        <v>3146</v>
      </c>
      <c r="T849" s="12"/>
      <c r="U849" s="10" t="str">
        <f>HYPERLINK("https://pbs.twimg.com/profile_images/1130273526/gse_multipart50931.jpg","View")</f>
        <v>View</v>
      </c>
    </row>
    <row r="850" spans="1:21" ht="81.599999999999994">
      <c r="A850" s="6">
        <v>43425.409780092596</v>
      </c>
      <c r="B850" s="7" t="str">
        <f>HYPERLINK("https://twitter.com/ferlopezmar","@ferlopezmar")</f>
        <v>@ferlopezmar</v>
      </c>
      <c r="C850" s="8" t="s">
        <v>3094</v>
      </c>
      <c r="D850" s="9" t="s">
        <v>3147</v>
      </c>
      <c r="E850" s="10" t="str">
        <f>HYPERLINK("https://twitter.com/ferlopezmar/status/1065301337418752000","1065301337418752000")</f>
        <v>1065301337418752000</v>
      </c>
      <c r="F850" s="11" t="s">
        <v>3148</v>
      </c>
      <c r="G850" s="11" t="s">
        <v>3149</v>
      </c>
      <c r="H850" s="12"/>
      <c r="I850" s="13">
        <v>6</v>
      </c>
      <c r="J850" s="13">
        <v>5</v>
      </c>
      <c r="K850" s="14" t="str">
        <f>HYPERLINK("http://twitter.com/#!/download/ipad","Twitter for iPad")</f>
        <v>Twitter for iPad</v>
      </c>
      <c r="L850" s="13">
        <v>8527</v>
      </c>
      <c r="M850" s="13">
        <v>7196</v>
      </c>
      <c r="N850" s="13">
        <v>97</v>
      </c>
      <c r="O850" s="15"/>
      <c r="P850" s="6">
        <v>40640.366249999999</v>
      </c>
      <c r="Q850" s="17" t="s">
        <v>3096</v>
      </c>
      <c r="R850" s="16" t="s">
        <v>3097</v>
      </c>
      <c r="S850" s="12"/>
      <c r="T850" s="12"/>
      <c r="U850" s="10" t="str">
        <f>HYPERLINK("https://pbs.twimg.com/profile_images/454697018347515904/jMF4_85M.jpeg","View")</f>
        <v>View</v>
      </c>
    </row>
    <row r="851" spans="1:21" ht="20.399999999999999">
      <c r="A851" s="6">
        <v>43425.405682870369</v>
      </c>
      <c r="B851" s="7" t="str">
        <f>HYPERLINK("https://twitter.com/itosarceconde","@itosarceconde")</f>
        <v>@itosarceconde</v>
      </c>
      <c r="C851" s="8" t="s">
        <v>3150</v>
      </c>
      <c r="D851" s="9" t="s">
        <v>3117</v>
      </c>
      <c r="E851" s="10" t="str">
        <f>HYPERLINK("https://twitter.com/itosarceconde/status/1065299850785366017","1065299850785366017")</f>
        <v>1065299850785366017</v>
      </c>
      <c r="F851" s="11" t="s">
        <v>3118</v>
      </c>
      <c r="G851" s="12"/>
      <c r="H851" s="12"/>
      <c r="I851" s="13">
        <v>1</v>
      </c>
      <c r="J851" s="13">
        <v>0</v>
      </c>
      <c r="K851" s="14" t="str">
        <f t="shared" ref="K851:K852" si="160">HYPERLINK("http://twitter.com/download/android","Twitter for Android")</f>
        <v>Twitter for Android</v>
      </c>
      <c r="L851" s="13">
        <v>437</v>
      </c>
      <c r="M851" s="13">
        <v>567</v>
      </c>
      <c r="N851" s="13">
        <v>28</v>
      </c>
      <c r="O851" s="15"/>
      <c r="P851" s="6">
        <v>40608.560243055559</v>
      </c>
      <c r="Q851" s="17" t="s">
        <v>3151</v>
      </c>
      <c r="R851" s="16" t="s">
        <v>3152</v>
      </c>
      <c r="S851" s="12"/>
      <c r="T851" s="12"/>
      <c r="U851" s="10" t="str">
        <f>HYPERLINK("https://pbs.twimg.com/profile_images/1054363208998416391/nhN65C1b.jpg","View")</f>
        <v>View</v>
      </c>
    </row>
    <row r="852" spans="1:21" ht="91.8">
      <c r="A852" s="6">
        <v>43425.403055555551</v>
      </c>
      <c r="B852" s="7" t="str">
        <f>HYPERLINK("https://twitter.com/ProtheanTom","@ProtheanTom")</f>
        <v>@ProtheanTom</v>
      </c>
      <c r="C852" s="8" t="s">
        <v>3153</v>
      </c>
      <c r="D852" s="9" t="s">
        <v>3154</v>
      </c>
      <c r="E852" s="10" t="str">
        <f>HYPERLINK("https://twitter.com/ProtheanTom/status/1065298899202650112","1065298899202650112")</f>
        <v>1065298899202650112</v>
      </c>
      <c r="F852" s="11" t="s">
        <v>2578</v>
      </c>
      <c r="G852" s="11" t="s">
        <v>2579</v>
      </c>
      <c r="H852" s="12"/>
      <c r="I852" s="13">
        <v>0</v>
      </c>
      <c r="J852" s="13">
        <v>1</v>
      </c>
      <c r="K852" s="14" t="str">
        <f t="shared" si="160"/>
        <v>Twitter for Android</v>
      </c>
      <c r="L852" s="13">
        <v>169</v>
      </c>
      <c r="M852" s="13">
        <v>409</v>
      </c>
      <c r="N852" s="13">
        <v>0</v>
      </c>
      <c r="O852" s="15"/>
      <c r="P852" s="6">
        <v>42652.17832175926</v>
      </c>
      <c r="Q852" s="12"/>
      <c r="R852" s="16" t="s">
        <v>3155</v>
      </c>
      <c r="S852" s="12"/>
      <c r="T852" s="12"/>
      <c r="U852" s="10" t="str">
        <f>HYPERLINK("https://pbs.twimg.com/profile_images/785082603825233920/ALs791NZ.jpg","View")</f>
        <v>View</v>
      </c>
    </row>
    <row r="853" spans="1:21" ht="20.399999999999999">
      <c r="A853" s="6">
        <v>43425.395879629628</v>
      </c>
      <c r="B853" s="7" t="str">
        <f>HYPERLINK("https://twitter.com/NotiVenezuela7","@NotiVenezuela7")</f>
        <v>@NotiVenezuela7</v>
      </c>
      <c r="C853" s="20" t="s">
        <v>2731</v>
      </c>
      <c r="D853" s="9" t="s">
        <v>2732</v>
      </c>
      <c r="E853" s="10" t="str">
        <f>HYPERLINK("https://twitter.com/NotiVenezuela7/status/1065296298713194501","1065296298713194501")</f>
        <v>1065296298713194501</v>
      </c>
      <c r="F853" s="11" t="s">
        <v>2733</v>
      </c>
      <c r="G853" s="12"/>
      <c r="H853" s="12"/>
      <c r="I853" s="13">
        <v>0</v>
      </c>
      <c r="J853" s="13">
        <v>0</v>
      </c>
      <c r="K853" s="14" t="str">
        <f>HYPERLINK("http://bolivia.becasinternacionales.net","NotiVenezuelaWebConnect")</f>
        <v>NotiVenezuelaWebConnect</v>
      </c>
      <c r="L853" s="13">
        <v>1557</v>
      </c>
      <c r="M853" s="13">
        <v>158</v>
      </c>
      <c r="N853" s="13">
        <v>68</v>
      </c>
      <c r="O853" s="15"/>
      <c r="P853" s="6">
        <v>41026.570219907408</v>
      </c>
      <c r="Q853" s="17" t="s">
        <v>69</v>
      </c>
      <c r="R853" s="16" t="s">
        <v>2734</v>
      </c>
      <c r="S853" s="11" t="s">
        <v>2735</v>
      </c>
      <c r="T853" s="12"/>
      <c r="U853" s="10" t="str">
        <f>HYPERLINK("https://pbs.twimg.com/profile_images/931978594146013187/dd8KYUQj.jpg","View")</f>
        <v>View</v>
      </c>
    </row>
    <row r="854" spans="1:21" ht="51">
      <c r="A854" s="6">
        <v>43425.394837962958</v>
      </c>
      <c r="B854" s="7" t="str">
        <f>HYPERLINK("https://twitter.com/mariothiago__6","@mariothiago__6")</f>
        <v>@mariothiago__6</v>
      </c>
      <c r="C854" s="8" t="s">
        <v>3156</v>
      </c>
      <c r="D854" s="9" t="s">
        <v>3157</v>
      </c>
      <c r="E854" s="10" t="str">
        <f>HYPERLINK("https://twitter.com/mariothiago__6/status/1065295920990961664","1065295920990961664")</f>
        <v>1065295920990961664</v>
      </c>
      <c r="F854" s="17" t="s">
        <v>2729</v>
      </c>
      <c r="G854" s="11" t="s">
        <v>2730</v>
      </c>
      <c r="H854" s="12"/>
      <c r="I854" s="13">
        <v>0</v>
      </c>
      <c r="J854" s="13">
        <v>0</v>
      </c>
      <c r="K854" s="14" t="str">
        <f>HYPERLINK("http://twitter.com/download/android","Twitter for Android")</f>
        <v>Twitter for Android</v>
      </c>
      <c r="L854" s="13">
        <v>426</v>
      </c>
      <c r="M854" s="13">
        <v>535</v>
      </c>
      <c r="N854" s="13">
        <v>2</v>
      </c>
      <c r="O854" s="15"/>
      <c r="P854" s="6">
        <v>41557.61414351852</v>
      </c>
      <c r="Q854" s="17" t="s">
        <v>3158</v>
      </c>
      <c r="R854" s="16" t="s">
        <v>3159</v>
      </c>
      <c r="S854" s="12"/>
      <c r="T854" s="12"/>
      <c r="U854" s="10" t="str">
        <f>HYPERLINK("https://pbs.twimg.com/profile_images/970779619229093888/hz50GN2i.jpg","View")</f>
        <v>View</v>
      </c>
    </row>
    <row r="855" spans="1:21" ht="40.799999999999997">
      <c r="A855" s="6">
        <v>43425.394571759258</v>
      </c>
      <c r="B855" s="7" t="str">
        <f>HYPERLINK("https://twitter.com/Coordinadora25S","@Coordinadora25S")</f>
        <v>@Coordinadora25S</v>
      </c>
      <c r="C855" s="8" t="s">
        <v>3160</v>
      </c>
      <c r="D855" s="9" t="s">
        <v>3161</v>
      </c>
      <c r="E855" s="10" t="str">
        <f>HYPERLINK("https://twitter.com/Coordinadora25S/status/1065295826363326470","1065295826363326470")</f>
        <v>1065295826363326470</v>
      </c>
      <c r="F855" s="11" t="s">
        <v>3162</v>
      </c>
      <c r="G855" s="12"/>
      <c r="H855" s="12"/>
      <c r="I855" s="13">
        <v>6</v>
      </c>
      <c r="J855" s="13">
        <v>4</v>
      </c>
      <c r="K855" s="14" t="str">
        <f>HYPERLINK("https://www.hootsuite.com","Hootsuite Inc.")</f>
        <v>Hootsuite Inc.</v>
      </c>
      <c r="L855" s="13">
        <v>39824</v>
      </c>
      <c r="M855" s="13">
        <v>697</v>
      </c>
      <c r="N855" s="13">
        <v>609</v>
      </c>
      <c r="O855" s="15"/>
      <c r="P855" s="6">
        <v>41146.436180555553</v>
      </c>
      <c r="Q855" s="17" t="s">
        <v>26</v>
      </c>
      <c r="R855" s="16" t="s">
        <v>3163</v>
      </c>
      <c r="S855" s="11" t="s">
        <v>3164</v>
      </c>
      <c r="T855" s="12"/>
      <c r="U855" s="10" t="str">
        <f>HYPERLINK("https://pbs.twimg.com/profile_images/972108356251987968/dbI9CW2T.jpg","View")</f>
        <v>View</v>
      </c>
    </row>
    <row r="856" spans="1:21" ht="30.6">
      <c r="A856" s="6">
        <v>43425.391747685186</v>
      </c>
      <c r="B856" s="7" t="str">
        <f>HYPERLINK("https://twitter.com/bandolerochato","@bandolerochato")</f>
        <v>@bandolerochato</v>
      </c>
      <c r="C856" s="8" t="s">
        <v>1768</v>
      </c>
      <c r="D856" s="9" t="s">
        <v>3165</v>
      </c>
      <c r="E856" s="10" t="str">
        <f>HYPERLINK("https://twitter.com/bandolerochato/status/1065294801220902915","1065294801220902915")</f>
        <v>1065294801220902915</v>
      </c>
      <c r="F856" s="12"/>
      <c r="G856" s="12"/>
      <c r="H856" s="12"/>
      <c r="I856" s="13">
        <v>0</v>
      </c>
      <c r="J856" s="13">
        <v>0</v>
      </c>
      <c r="K856" s="14" t="str">
        <f>HYPERLINK("http://twitter.com","Twitter Web Client")</f>
        <v>Twitter Web Client</v>
      </c>
      <c r="L856" s="13">
        <v>624</v>
      </c>
      <c r="M856" s="13">
        <v>1224</v>
      </c>
      <c r="N856" s="13">
        <v>2</v>
      </c>
      <c r="O856" s="15"/>
      <c r="P856" s="6">
        <v>41331.411111111112</v>
      </c>
      <c r="Q856" s="12"/>
      <c r="R856" s="18"/>
      <c r="S856" s="12"/>
      <c r="T856" s="12"/>
      <c r="U856" s="10" t="str">
        <f>HYPERLINK("https://pbs.twimg.com/profile_images/3311607511/c5d8c6c3cc019abcc10619ed8701dc16.jpeg","View")</f>
        <v>View</v>
      </c>
    </row>
    <row r="857" spans="1:21" ht="20.399999999999999">
      <c r="A857" s="6">
        <v>43425.389027777783</v>
      </c>
      <c r="B857" s="7" t="str">
        <f>HYPERLINK("https://twitter.com/boroscq","@boroscq")</f>
        <v>@boroscq</v>
      </c>
      <c r="C857" s="8" t="s">
        <v>3166</v>
      </c>
      <c r="D857" s="9" t="s">
        <v>3167</v>
      </c>
      <c r="E857" s="10" t="str">
        <f>HYPERLINK("https://twitter.com/boroscq/status/1065293814137528322","1065293814137528322")</f>
        <v>1065293814137528322</v>
      </c>
      <c r="F857" s="11" t="s">
        <v>3168</v>
      </c>
      <c r="G857" s="12"/>
      <c r="H857" s="12"/>
      <c r="I857" s="13">
        <v>0</v>
      </c>
      <c r="J857" s="13">
        <v>0</v>
      </c>
      <c r="K857" s="14" t="str">
        <f>HYPERLINK("http://www.facebook.com/twitter","Facebook")</f>
        <v>Facebook</v>
      </c>
      <c r="L857" s="13">
        <v>243</v>
      </c>
      <c r="M857" s="13">
        <v>146</v>
      </c>
      <c r="N857" s="13">
        <v>22</v>
      </c>
      <c r="O857" s="15"/>
      <c r="P857" s="6">
        <v>40082.256307870368</v>
      </c>
      <c r="Q857" s="17" t="s">
        <v>805</v>
      </c>
      <c r="R857" s="16" t="s">
        <v>3169</v>
      </c>
      <c r="S857" s="11" t="s">
        <v>3170</v>
      </c>
      <c r="T857" s="12"/>
      <c r="U857" s="10" t="str">
        <f>HYPERLINK("https://pbs.twimg.com/profile_images/1031316357579718656/_isIg6h7.jpg","View")</f>
        <v>View</v>
      </c>
    </row>
    <row r="858" spans="1:21" ht="30.6">
      <c r="A858" s="6">
        <v>43425.388912037037</v>
      </c>
      <c r="B858" s="7" t="str">
        <f>HYPERLINK("https://twitter.com/Mou_h_Art","@Mou_h_Art")</f>
        <v>@Mou_h_Art</v>
      </c>
      <c r="C858" s="8" t="s">
        <v>3172</v>
      </c>
      <c r="D858" s="9" t="s">
        <v>3173</v>
      </c>
      <c r="E858" s="10" t="str">
        <f>HYPERLINK("https://twitter.com/Mou_h_Art/status/1065293772467113984","1065293772467113984")</f>
        <v>1065293772467113984</v>
      </c>
      <c r="F858" s="11" t="s">
        <v>3174</v>
      </c>
      <c r="G858" s="12"/>
      <c r="H858" s="12"/>
      <c r="I858" s="13">
        <v>0</v>
      </c>
      <c r="J858" s="13">
        <v>0</v>
      </c>
      <c r="K858" s="14" t="str">
        <f>HYPERLINK("http://twitter.com","Twitter Web Client")</f>
        <v>Twitter Web Client</v>
      </c>
      <c r="L858" s="13">
        <v>1254</v>
      </c>
      <c r="M858" s="13">
        <v>1397</v>
      </c>
      <c r="N858" s="13">
        <v>36</v>
      </c>
      <c r="O858" s="15"/>
      <c r="P858" s="6">
        <v>40711.053020833337</v>
      </c>
      <c r="Q858" s="17" t="s">
        <v>187</v>
      </c>
      <c r="R858" s="16" t="s">
        <v>3175</v>
      </c>
      <c r="S858" s="11" t="s">
        <v>3176</v>
      </c>
      <c r="T858" s="12"/>
      <c r="U858" s="10" t="str">
        <f>HYPERLINK("https://pbs.twimg.com/profile_images/1399850965/Dibujo4_5.JPG","View")</f>
        <v>View</v>
      </c>
    </row>
    <row r="859" spans="1:21" ht="20.399999999999999">
      <c r="A859" s="6">
        <v>43425.387326388889</v>
      </c>
      <c r="B859" s="7" t="str">
        <f>HYPERLINK("https://twitter.com/juanantoniojim9","@juanantoniojim9")</f>
        <v>@juanantoniojim9</v>
      </c>
      <c r="C859" s="8" t="s">
        <v>3177</v>
      </c>
      <c r="D859" s="9" t="s">
        <v>1940</v>
      </c>
      <c r="E859" s="10" t="str">
        <f>HYPERLINK("https://twitter.com/juanantoniojim9/status/1065293198313091072","1065293198313091072")</f>
        <v>1065293198313091072</v>
      </c>
      <c r="F859" s="11" t="s">
        <v>1941</v>
      </c>
      <c r="G859" s="12"/>
      <c r="H859" s="12"/>
      <c r="I859" s="13">
        <v>0</v>
      </c>
      <c r="J859" s="13">
        <v>0</v>
      </c>
      <c r="K859" s="14" t="str">
        <f>HYPERLINK("http://www.facebook.com/twitter","Facebook")</f>
        <v>Facebook</v>
      </c>
      <c r="L859" s="13">
        <v>314</v>
      </c>
      <c r="M859" s="13">
        <v>957</v>
      </c>
      <c r="N859" s="13">
        <v>11</v>
      </c>
      <c r="O859" s="15"/>
      <c r="P859" s="6">
        <v>40935.010115740741</v>
      </c>
      <c r="Q859" s="12"/>
      <c r="R859" s="18"/>
      <c r="S859" s="12"/>
      <c r="T859" s="12"/>
      <c r="U859" s="10" t="str">
        <f>HYPERLINK("https://pbs.twimg.com/profile_images/3197113809/2d6d6accd1df6d2bdec0bd5bebd9c0b0.jpeg","View")</f>
        <v>View</v>
      </c>
    </row>
    <row r="860" spans="1:21" ht="20.399999999999999">
      <c r="A860" s="6">
        <v>43425.387025462958</v>
      </c>
      <c r="B860" s="7" t="str">
        <f>HYPERLINK("https://twitter.com/SALE550","@SALE550")</f>
        <v>@SALE550</v>
      </c>
      <c r="C860" s="8" t="s">
        <v>1857</v>
      </c>
      <c r="D860" s="9" t="s">
        <v>3178</v>
      </c>
      <c r="E860" s="10" t="str">
        <f>HYPERLINK("https://twitter.com/SALE550/status/1065293087948357633","1065293087948357633")</f>
        <v>1065293087948357633</v>
      </c>
      <c r="F860" s="11" t="s">
        <v>3180</v>
      </c>
      <c r="G860" s="12"/>
      <c r="H860" s="12"/>
      <c r="I860" s="13">
        <v>0</v>
      </c>
      <c r="J860" s="13">
        <v>0</v>
      </c>
      <c r="K860" s="14" t="str">
        <f>HYPERLINK("http://twitter.com","Twitter Web Client")</f>
        <v>Twitter Web Client</v>
      </c>
      <c r="L860" s="13">
        <v>88</v>
      </c>
      <c r="M860" s="13">
        <v>483</v>
      </c>
      <c r="N860" s="13">
        <v>3</v>
      </c>
      <c r="O860" s="15"/>
      <c r="P860" s="6">
        <v>40500.955335648148</v>
      </c>
      <c r="Q860" s="17" t="s">
        <v>1858</v>
      </c>
      <c r="R860" s="16" t="s">
        <v>1859</v>
      </c>
      <c r="S860" s="12"/>
      <c r="T860" s="12"/>
      <c r="U860" s="10" t="str">
        <f>HYPERLINK("https://pbs.twimg.com/profile_images/2292818647/678cuyarak43yyoyr9vu.jpeg","View")</f>
        <v>View</v>
      </c>
    </row>
    <row r="861" spans="1:21" ht="40.799999999999997">
      <c r="A861" s="6">
        <v>43425.385428240741</v>
      </c>
      <c r="B861" s="7" t="str">
        <f>HYPERLINK("https://twitter.com/Rafa_Hernando","@Rafa_Hernando")</f>
        <v>@Rafa_Hernando</v>
      </c>
      <c r="C861" s="8" t="s">
        <v>3183</v>
      </c>
      <c r="D861" s="9" t="s">
        <v>3184</v>
      </c>
      <c r="E861" s="10" t="str">
        <f>HYPERLINK("https://twitter.com/Rafa_Hernando/status/1065292511147687937","1065292511147687937")</f>
        <v>1065292511147687937</v>
      </c>
      <c r="F861" s="17" t="s">
        <v>3185</v>
      </c>
      <c r="G861" s="11" t="s">
        <v>3186</v>
      </c>
      <c r="H861" s="12"/>
      <c r="I861" s="13">
        <v>528</v>
      </c>
      <c r="J861" s="13">
        <v>1039</v>
      </c>
      <c r="K861" s="14" t="str">
        <f>HYPERLINK("http://twitter.com/download/iphone","Twitter for iPhone")</f>
        <v>Twitter for iPhone</v>
      </c>
      <c r="L861" s="13">
        <v>51792</v>
      </c>
      <c r="M861" s="13">
        <v>864</v>
      </c>
      <c r="N861" s="13">
        <v>605</v>
      </c>
      <c r="O861" s="19" t="s">
        <v>74</v>
      </c>
      <c r="P861" s="6">
        <v>40812.446435185186</v>
      </c>
      <c r="Q861" s="12"/>
      <c r="R861" s="16" t="s">
        <v>3189</v>
      </c>
      <c r="S861" s="11" t="s">
        <v>3190</v>
      </c>
      <c r="T861" s="12"/>
      <c r="U861" s="10" t="str">
        <f>HYPERLINK("https://pbs.twimg.com/profile_images/572397933207633920/Fx5DRnMH.jpeg","View")</f>
        <v>View</v>
      </c>
    </row>
    <row r="862" spans="1:21" ht="51">
      <c r="A862" s="6">
        <v>43425.375891203701</v>
      </c>
      <c r="B862" s="7" t="str">
        <f>HYPERLINK("https://twitter.com/tablaopuroarte","@tablaopuroarte")</f>
        <v>@tablaopuroarte</v>
      </c>
      <c r="C862" s="8" t="s">
        <v>3191</v>
      </c>
      <c r="D862" s="9" t="s">
        <v>3192</v>
      </c>
      <c r="E862" s="10" t="str">
        <f>HYPERLINK("https://twitter.com/tablaopuroarte/status/1065289053006938112","1065289053006938112")</f>
        <v>1065289053006938112</v>
      </c>
      <c r="F862" s="12"/>
      <c r="G862" s="11" t="s">
        <v>3193</v>
      </c>
      <c r="H862" s="12"/>
      <c r="I862" s="13">
        <v>0</v>
      </c>
      <c r="J862" s="13">
        <v>0</v>
      </c>
      <c r="K862" s="14" t="str">
        <f>HYPERLINK("https://buffer.com","Buffer")</f>
        <v>Buffer</v>
      </c>
      <c r="L862" s="13">
        <v>353</v>
      </c>
      <c r="M862" s="13">
        <v>510</v>
      </c>
      <c r="N862" s="13">
        <v>6</v>
      </c>
      <c r="O862" s="15"/>
      <c r="P862" s="6">
        <v>41805.134027777778</v>
      </c>
      <c r="Q862" s="17" t="s">
        <v>3194</v>
      </c>
      <c r="R862" s="16" t="s">
        <v>3195</v>
      </c>
      <c r="S862" s="11" t="s">
        <v>3196</v>
      </c>
      <c r="T862" s="12"/>
      <c r="U862" s="10" t="str">
        <f>HYPERLINK("https://pbs.twimg.com/profile_images/1062321008244350977/sAbAyyT5.jpg","View")</f>
        <v>View</v>
      </c>
    </row>
    <row r="863" spans="1:21" ht="40.799999999999997">
      <c r="A863" s="6">
        <v>43425.3747337963</v>
      </c>
      <c r="B863" s="7" t="str">
        <f>HYPERLINK("https://twitter.com/Santi_G_F","@Santi_G_F")</f>
        <v>@Santi_G_F</v>
      </c>
      <c r="C863" s="8" t="s">
        <v>2958</v>
      </c>
      <c r="D863" s="9" t="s">
        <v>3197</v>
      </c>
      <c r="E863" s="10" t="str">
        <f>HYPERLINK("https://twitter.com/Santi_G_F/status/1065288637342990337","1065288637342990337")</f>
        <v>1065288637342990337</v>
      </c>
      <c r="F863" s="11" t="s">
        <v>3198</v>
      </c>
      <c r="G863" s="12"/>
      <c r="H863" s="12"/>
      <c r="I863" s="13">
        <v>0</v>
      </c>
      <c r="J863" s="13">
        <v>0</v>
      </c>
      <c r="K863" s="14" t="str">
        <f>HYPERLINK("http://www.facebook.com/twitter","Facebook")</f>
        <v>Facebook</v>
      </c>
      <c r="L863" s="13">
        <v>196</v>
      </c>
      <c r="M863" s="13">
        <v>286</v>
      </c>
      <c r="N863" s="13">
        <v>2</v>
      </c>
      <c r="O863" s="15"/>
      <c r="P863" s="6">
        <v>42417.134548611109</v>
      </c>
      <c r="Q863" s="12"/>
      <c r="R863" s="16" t="s">
        <v>2960</v>
      </c>
      <c r="S863" s="12"/>
      <c r="T863" s="12"/>
      <c r="U863" s="10" t="str">
        <f>HYPERLINK("https://pbs.twimg.com/profile_images/706241638981636096/FMN7rgKx.jpg","View")</f>
        <v>View</v>
      </c>
    </row>
    <row r="864" spans="1:21" ht="20.399999999999999">
      <c r="A864" s="6">
        <v>43425.370601851857</v>
      </c>
      <c r="B864" s="7" t="str">
        <f>HYPERLINK("https://twitter.com/manutv","@manutv")</f>
        <v>@manutv</v>
      </c>
      <c r="C864" s="8" t="s">
        <v>1400</v>
      </c>
      <c r="D864" s="9" t="s">
        <v>3199</v>
      </c>
      <c r="E864" s="10" t="str">
        <f>HYPERLINK("https://twitter.com/manutv/status/1065287138223288320","1065287138223288320")</f>
        <v>1065287138223288320</v>
      </c>
      <c r="F864" s="11" t="s">
        <v>287</v>
      </c>
      <c r="G864" s="11" t="s">
        <v>3200</v>
      </c>
      <c r="H864" s="12"/>
      <c r="I864" s="13">
        <v>2</v>
      </c>
      <c r="J864" s="13">
        <v>8</v>
      </c>
      <c r="K864" s="14" t="str">
        <f>HYPERLINK("https://about.twitter.com/products/tweetdeck","TweetDeck")</f>
        <v>TweetDeck</v>
      </c>
      <c r="L864" s="13">
        <v>881</v>
      </c>
      <c r="M864" s="13">
        <v>235</v>
      </c>
      <c r="N864" s="13">
        <v>37</v>
      </c>
      <c r="O864" s="15"/>
      <c r="P864" s="6">
        <v>39690.607546296298</v>
      </c>
      <c r="Q864" s="17" t="s">
        <v>1246</v>
      </c>
      <c r="R864" s="16" t="s">
        <v>1403</v>
      </c>
      <c r="S864" s="11" t="s">
        <v>289</v>
      </c>
      <c r="T864" s="12"/>
      <c r="U864" s="10" t="str">
        <f>HYPERLINK("https://pbs.twimg.com/profile_images/1064446178056683521/PmDwVZca.jpg","View")</f>
        <v>View</v>
      </c>
    </row>
    <row r="865" spans="1:21" ht="20.399999999999999">
      <c r="A865" s="6">
        <v>43425.369351851856</v>
      </c>
      <c r="B865" s="7" t="str">
        <f>HYPERLINK("https://twitter.com/ferpm32","@ferpm32")</f>
        <v>@ferpm32</v>
      </c>
      <c r="C865" s="8" t="s">
        <v>3094</v>
      </c>
      <c r="D865" s="9" t="s">
        <v>3201</v>
      </c>
      <c r="E865" s="10" t="str">
        <f>HYPERLINK("https://twitter.com/ferpm32/status/1065286683736838145","1065286683736838145")</f>
        <v>1065286683736838145</v>
      </c>
      <c r="F865" s="12"/>
      <c r="G865" s="12"/>
      <c r="H865" s="12"/>
      <c r="I865" s="13">
        <v>0</v>
      </c>
      <c r="J865" s="13">
        <v>1</v>
      </c>
      <c r="K865" s="14" t="str">
        <f>HYPERLINK("http://twitter.com/download/android","Twitter for Android")</f>
        <v>Twitter for Android</v>
      </c>
      <c r="L865" s="13">
        <v>29</v>
      </c>
      <c r="M865" s="13">
        <v>112</v>
      </c>
      <c r="N865" s="13">
        <v>0</v>
      </c>
      <c r="O865" s="15"/>
      <c r="P865" s="6">
        <v>42961.626516203702</v>
      </c>
      <c r="Q865" s="12"/>
      <c r="R865" s="16" t="s">
        <v>3202</v>
      </c>
      <c r="S865" s="12"/>
      <c r="T865" s="12"/>
      <c r="U865" s="10" t="str">
        <f>HYPERLINK("https://pbs.twimg.com/profile_images/945689530232967169/DbHoHoiM.jpg","View")</f>
        <v>View</v>
      </c>
    </row>
    <row r="866" spans="1:21" ht="13.2">
      <c r="A866" s="6">
        <v>43425.36550925926</v>
      </c>
      <c r="B866" s="7" t="str">
        <f>HYPERLINK("https://twitter.com/canarias_opina","@canarias_opina")</f>
        <v>@canarias_opina</v>
      </c>
      <c r="C866" s="8" t="s">
        <v>3204</v>
      </c>
      <c r="D866" s="9" t="s">
        <v>2952</v>
      </c>
      <c r="E866" s="10" t="str">
        <f>HYPERLINK("https://twitter.com/canarias_opina/status/1065285292096217088","1065285292096217088")</f>
        <v>1065285292096217088</v>
      </c>
      <c r="F866" s="11" t="s">
        <v>3205</v>
      </c>
      <c r="G866" s="11" t="s">
        <v>3206</v>
      </c>
      <c r="H866" s="12"/>
      <c r="I866" s="13">
        <v>0</v>
      </c>
      <c r="J866" s="13">
        <v>0</v>
      </c>
      <c r="K866" s="14" t="str">
        <f>HYPERLINK("http://publicize.wp.com/","WordPress.com")</f>
        <v>WordPress.com</v>
      </c>
      <c r="L866" s="13">
        <v>1045</v>
      </c>
      <c r="M866" s="13">
        <v>1064</v>
      </c>
      <c r="N866" s="13">
        <v>31</v>
      </c>
      <c r="O866" s="15"/>
      <c r="P866" s="6">
        <v>41547.60015046296</v>
      </c>
      <c r="Q866" s="12"/>
      <c r="R866" s="16" t="s">
        <v>3207</v>
      </c>
      <c r="S866" s="11" t="s">
        <v>3208</v>
      </c>
      <c r="T866" s="12"/>
      <c r="U866" s="10" t="str">
        <f>HYPERLINK("https://pbs.twimg.com/profile_images/475670032937017344/gxeAJXMk.png","View")</f>
        <v>View</v>
      </c>
    </row>
    <row r="867" spans="1:21" ht="20.399999999999999">
      <c r="A867" s="6">
        <v>43425.358854166669</v>
      </c>
      <c r="B867" s="7" t="str">
        <f>HYPERLINK("https://twitter.com/NoViolenciaCai","@NoViolenciaCai")</f>
        <v>@NoViolenciaCai</v>
      </c>
      <c r="C867" s="8" t="s">
        <v>3209</v>
      </c>
      <c r="D867" s="9" t="s">
        <v>3067</v>
      </c>
      <c r="E867" s="10" t="str">
        <f>HYPERLINK("https://twitter.com/NoViolenciaCai/status/1065282881755467776","1065282881755467776")</f>
        <v>1065282881755467776</v>
      </c>
      <c r="F867" s="11" t="s">
        <v>320</v>
      </c>
      <c r="G867" s="12"/>
      <c r="H867" s="12"/>
      <c r="I867" s="13">
        <v>0</v>
      </c>
      <c r="J867" s="13">
        <v>0</v>
      </c>
      <c r="K867" s="14" t="str">
        <f>HYPERLINK("http://www.facebook.com/twitter","Facebook")</f>
        <v>Facebook</v>
      </c>
      <c r="L867" s="13">
        <v>460</v>
      </c>
      <c r="M867" s="13">
        <v>1344</v>
      </c>
      <c r="N867" s="13">
        <v>3</v>
      </c>
      <c r="O867" s="15"/>
      <c r="P867" s="6">
        <v>40289.175532407404</v>
      </c>
      <c r="Q867" s="17" t="s">
        <v>3210</v>
      </c>
      <c r="R867" s="16" t="s">
        <v>3211</v>
      </c>
      <c r="S867" s="11" t="s">
        <v>3212</v>
      </c>
      <c r="T867" s="12"/>
      <c r="U867" s="10" t="str">
        <f>HYPERLINK("https://pbs.twimg.com/profile_images/840156530/MSGySV-logooficial.jpg","View")</f>
        <v>View</v>
      </c>
    </row>
    <row r="868" spans="1:21" ht="40.799999999999997">
      <c r="A868" s="6">
        <v>43425.351736111115</v>
      </c>
      <c r="B868" s="7" t="str">
        <f>HYPERLINK("https://twitter.com/MariSolSolet","@MariSolSolet")</f>
        <v>@MariSolSolet</v>
      </c>
      <c r="C868" s="8" t="s">
        <v>3213</v>
      </c>
      <c r="D868" s="9" t="s">
        <v>3214</v>
      </c>
      <c r="E868" s="10" t="str">
        <f>HYPERLINK("https://twitter.com/MariSolSolet/status/1065280303126798343","1065280303126798343")</f>
        <v>1065280303126798343</v>
      </c>
      <c r="F868" s="12"/>
      <c r="G868" s="11" t="s">
        <v>3215</v>
      </c>
      <c r="H868" s="12"/>
      <c r="I868" s="13">
        <v>4</v>
      </c>
      <c r="J868" s="13">
        <v>1</v>
      </c>
      <c r="K868" s="14" t="str">
        <f t="shared" ref="K868:K874" si="161">HYPERLINK("http://twitter.com/download/android","Twitter for Android")</f>
        <v>Twitter for Android</v>
      </c>
      <c r="L868" s="13">
        <v>4563</v>
      </c>
      <c r="M868" s="13">
        <v>4105</v>
      </c>
      <c r="N868" s="13">
        <v>61</v>
      </c>
      <c r="O868" s="15"/>
      <c r="P868" s="6">
        <v>41525.443819444445</v>
      </c>
      <c r="Q868" s="17" t="s">
        <v>29</v>
      </c>
      <c r="R868" s="16" t="s">
        <v>3216</v>
      </c>
      <c r="S868" s="12"/>
      <c r="T868" s="12"/>
      <c r="U868" s="10" t="str">
        <f>HYPERLINK("https://pbs.twimg.com/profile_images/1008614160316461056/nWKrpg30.jpg","View")</f>
        <v>View</v>
      </c>
    </row>
    <row r="869" spans="1:21" ht="30.6">
      <c r="A869" s="6">
        <v>43425.351168981477</v>
      </c>
      <c r="B869" s="7" t="str">
        <f>HYPERLINK("https://twitter.com/socdaitona1961","@socdaitona1961")</f>
        <v>@socdaitona1961</v>
      </c>
      <c r="C869" s="8" t="s">
        <v>3217</v>
      </c>
      <c r="D869" s="9" t="s">
        <v>3218</v>
      </c>
      <c r="E869" s="10" t="str">
        <f>HYPERLINK("https://twitter.com/socdaitona1961/status/1065280095416393729","1065280095416393729")</f>
        <v>1065280095416393729</v>
      </c>
      <c r="F869" s="11" t="s">
        <v>335</v>
      </c>
      <c r="G869" s="12"/>
      <c r="H869" s="12"/>
      <c r="I869" s="13">
        <v>0</v>
      </c>
      <c r="J869" s="13">
        <v>0</v>
      </c>
      <c r="K869" s="14" t="str">
        <f t="shared" si="161"/>
        <v>Twitter for Android</v>
      </c>
      <c r="L869" s="13">
        <v>139</v>
      </c>
      <c r="M869" s="13">
        <v>333</v>
      </c>
      <c r="N869" s="13">
        <v>0</v>
      </c>
      <c r="O869" s="15"/>
      <c r="P869" s="6">
        <v>43354.451018518521</v>
      </c>
      <c r="Q869" s="17" t="s">
        <v>3219</v>
      </c>
      <c r="R869" s="16" t="s">
        <v>3220</v>
      </c>
      <c r="S869" s="12"/>
      <c r="T869" s="12"/>
      <c r="U869" s="10" t="str">
        <f>HYPERLINK("https://pbs.twimg.com/profile_images/1041798432741097474/HqBFUNAp.jpg","View")</f>
        <v>View</v>
      </c>
    </row>
    <row r="870" spans="1:21" ht="112.2">
      <c r="A870" s="6">
        <v>43425.34888888889</v>
      </c>
      <c r="B870" s="7" t="str">
        <f>HYPERLINK("https://twitter.com/Jacoboramosobra","@Jacoboramosobra")</f>
        <v>@Jacoboramosobra</v>
      </c>
      <c r="C870" s="8" t="s">
        <v>1144</v>
      </c>
      <c r="D870" s="9" t="s">
        <v>3221</v>
      </c>
      <c r="E870" s="10" t="str">
        <f>HYPERLINK("https://twitter.com/Jacoboramosobra/status/1065279271831261185","1065279271831261185")</f>
        <v>1065279271831261185</v>
      </c>
      <c r="F870" s="11" t="s">
        <v>3187</v>
      </c>
      <c r="G870" s="11" t="s">
        <v>3188</v>
      </c>
      <c r="H870" s="12"/>
      <c r="I870" s="13">
        <v>4</v>
      </c>
      <c r="J870" s="13">
        <v>1</v>
      </c>
      <c r="K870" s="14" t="str">
        <f t="shared" si="161"/>
        <v>Twitter for Android</v>
      </c>
      <c r="L870" s="13">
        <v>1863</v>
      </c>
      <c r="M870" s="13">
        <v>4123</v>
      </c>
      <c r="N870" s="13">
        <v>6</v>
      </c>
      <c r="O870" s="15"/>
      <c r="P870" s="6">
        <v>42484.626956018517</v>
      </c>
      <c r="Q870" s="17" t="s">
        <v>160</v>
      </c>
      <c r="R870" s="16" t="s">
        <v>1148</v>
      </c>
      <c r="S870" s="11" t="s">
        <v>1149</v>
      </c>
      <c r="T870" s="12"/>
      <c r="U870" s="10" t="str">
        <f>HYPERLINK("https://pbs.twimg.com/profile_images/868321615435759616/U1AirX7V.jpg","View")</f>
        <v>View</v>
      </c>
    </row>
    <row r="871" spans="1:21" ht="30.6">
      <c r="A871" s="6">
        <v>43425.346250000002</v>
      </c>
      <c r="B871" s="7" t="str">
        <f>HYPERLINK("https://twitter.com/Xuxipc","@Xuxipc")</f>
        <v>@Xuxipc</v>
      </c>
      <c r="C871" s="8" t="s">
        <v>1361</v>
      </c>
      <c r="D871" s="9" t="s">
        <v>3222</v>
      </c>
      <c r="E871" s="10" t="str">
        <f>HYPERLINK("https://twitter.com/Xuxipc/status/1065278313890017280","1065278313890017280")</f>
        <v>1065278313890017280</v>
      </c>
      <c r="F871" s="12"/>
      <c r="G871" s="12"/>
      <c r="H871" s="12"/>
      <c r="I871" s="13">
        <v>55</v>
      </c>
      <c r="J871" s="13">
        <v>126</v>
      </c>
      <c r="K871" s="14" t="str">
        <f t="shared" si="161"/>
        <v>Twitter for Android</v>
      </c>
      <c r="L871" s="13">
        <v>182356</v>
      </c>
      <c r="M871" s="13">
        <v>280</v>
      </c>
      <c r="N871" s="13">
        <v>1244</v>
      </c>
      <c r="O871" s="15"/>
      <c r="P871" s="6">
        <v>41297.293078703704</v>
      </c>
      <c r="Q871" s="17" t="s">
        <v>1363</v>
      </c>
      <c r="R871" s="16" t="s">
        <v>1364</v>
      </c>
      <c r="S871" s="11" t="s">
        <v>1365</v>
      </c>
      <c r="T871" s="12"/>
      <c r="U871" s="10" t="str">
        <f>HYPERLINK("https://pbs.twimg.com/profile_images/1060442492217290752/p4rkMs-Y.jpg","View")</f>
        <v>View</v>
      </c>
    </row>
    <row r="872" spans="1:21" ht="30.6">
      <c r="A872" s="6">
        <v>43425.344687500001</v>
      </c>
      <c r="B872" s="7" t="str">
        <f>HYPERLINK("https://twitter.com/cronenbee","@cronenbee")</f>
        <v>@cronenbee</v>
      </c>
      <c r="C872" s="8" t="s">
        <v>3223</v>
      </c>
      <c r="D872" s="9" t="s">
        <v>3224</v>
      </c>
      <c r="E872" s="10" t="str">
        <f>HYPERLINK("https://twitter.com/cronenbee/status/1065277745524080641","1065277745524080641")</f>
        <v>1065277745524080641</v>
      </c>
      <c r="F872" s="12"/>
      <c r="G872" s="12"/>
      <c r="H872" s="12"/>
      <c r="I872" s="13">
        <v>6</v>
      </c>
      <c r="J872" s="13">
        <v>10</v>
      </c>
      <c r="K872" s="14" t="str">
        <f t="shared" si="161"/>
        <v>Twitter for Android</v>
      </c>
      <c r="L872" s="13">
        <v>1568</v>
      </c>
      <c r="M872" s="13">
        <v>655</v>
      </c>
      <c r="N872" s="13">
        <v>70</v>
      </c>
      <c r="O872" s="15"/>
      <c r="P872" s="6">
        <v>42081.412303240737</v>
      </c>
      <c r="Q872" s="17" t="s">
        <v>3225</v>
      </c>
      <c r="R872" s="16" t="s">
        <v>3226</v>
      </c>
      <c r="S872" s="11" t="s">
        <v>3227</v>
      </c>
      <c r="T872" s="12"/>
      <c r="U872" s="10" t="str">
        <f>HYPERLINK("https://pbs.twimg.com/profile_images/1064266077213995008/FKeTkFMB.jpg","View")</f>
        <v>View</v>
      </c>
    </row>
    <row r="873" spans="1:21" ht="30.6">
      <c r="A873" s="6">
        <v>43425.343206018515</v>
      </c>
      <c r="B873" s="7" t="str">
        <f>HYPERLINK("https://twitter.com/xXfuckencioXx","@xXfuckencioXx")</f>
        <v>@xXfuckencioXx</v>
      </c>
      <c r="C873" s="8" t="s">
        <v>3228</v>
      </c>
      <c r="D873" s="9" t="s">
        <v>3229</v>
      </c>
      <c r="E873" s="10" t="str">
        <f>HYPERLINK("https://twitter.com/xXfuckencioXx/status/1065277212209876993","1065277212209876993")</f>
        <v>1065277212209876993</v>
      </c>
      <c r="F873" s="11" t="s">
        <v>3230</v>
      </c>
      <c r="G873" s="11" t="s">
        <v>3231</v>
      </c>
      <c r="H873" s="12"/>
      <c r="I873" s="13">
        <v>0</v>
      </c>
      <c r="J873" s="13">
        <v>0</v>
      </c>
      <c r="K873" s="14" t="str">
        <f t="shared" si="161"/>
        <v>Twitter for Android</v>
      </c>
      <c r="L873" s="13">
        <v>52</v>
      </c>
      <c r="M873" s="13">
        <v>345</v>
      </c>
      <c r="N873" s="13">
        <v>0</v>
      </c>
      <c r="O873" s="15"/>
      <c r="P873" s="6">
        <v>41241.484849537039</v>
      </c>
      <c r="Q873" s="17" t="s">
        <v>29</v>
      </c>
      <c r="R873" s="16" t="s">
        <v>3232</v>
      </c>
      <c r="S873" s="11" t="s">
        <v>3233</v>
      </c>
      <c r="T873" s="12"/>
      <c r="U873" s="10" t="str">
        <f>HYPERLINK("https://pbs.twimg.com/profile_images/1025157624180994048/f3304yjX.jpg","View")</f>
        <v>View</v>
      </c>
    </row>
    <row r="874" spans="1:21" ht="20.399999999999999">
      <c r="A874" s="6">
        <v>43425.340254629627</v>
      </c>
      <c r="B874" s="7" t="str">
        <f>HYPERLINK("https://twitter.com/Paco_Pico27","@Paco_Pico27")</f>
        <v>@Paco_Pico27</v>
      </c>
      <c r="C874" s="8" t="s">
        <v>1256</v>
      </c>
      <c r="D874" s="9" t="s">
        <v>3234</v>
      </c>
      <c r="E874" s="10" t="str">
        <f>HYPERLINK("https://twitter.com/Paco_Pico27/status/1065276141139894272","1065276141139894272")</f>
        <v>1065276141139894272</v>
      </c>
      <c r="F874" s="11" t="s">
        <v>3235</v>
      </c>
      <c r="G874" s="12"/>
      <c r="H874" s="12"/>
      <c r="I874" s="13">
        <v>0</v>
      </c>
      <c r="J874" s="13">
        <v>0</v>
      </c>
      <c r="K874" s="14" t="str">
        <f t="shared" si="161"/>
        <v>Twitter for Android</v>
      </c>
      <c r="L874" s="13">
        <v>465</v>
      </c>
      <c r="M874" s="13">
        <v>857</v>
      </c>
      <c r="N874" s="13">
        <v>0</v>
      </c>
      <c r="O874" s="15"/>
      <c r="P874" s="6">
        <v>41043.386145833334</v>
      </c>
      <c r="Q874" s="17" t="s">
        <v>76</v>
      </c>
      <c r="R874" s="16" t="s">
        <v>1257</v>
      </c>
      <c r="S874" s="12"/>
      <c r="T874" s="12"/>
      <c r="U874" s="10" t="str">
        <f>HYPERLINK("https://pbs.twimg.com/profile_images/711077803148632064/3ryoGf1J.jpg","View")</f>
        <v>View</v>
      </c>
    </row>
    <row r="875" spans="1:21" ht="20.399999999999999">
      <c r="A875" s="6">
        <v>43425.339849537035</v>
      </c>
      <c r="B875" s="7" t="str">
        <f>HYPERLINK("https://twitter.com/vaviol","@vaviol")</f>
        <v>@vaviol</v>
      </c>
      <c r="C875" s="8" t="s">
        <v>3236</v>
      </c>
      <c r="D875" s="9" t="s">
        <v>1545</v>
      </c>
      <c r="E875" s="10" t="str">
        <f>HYPERLINK("https://twitter.com/vaviol/status/1065275992040714241","1065275992040714241")</f>
        <v>1065275992040714241</v>
      </c>
      <c r="F875" s="11" t="s">
        <v>335</v>
      </c>
      <c r="G875" s="12"/>
      <c r="H875" s="12"/>
      <c r="I875" s="13">
        <v>1</v>
      </c>
      <c r="J875" s="13">
        <v>0</v>
      </c>
      <c r="K875" s="14" t="str">
        <f>HYPERLINK("http://twitter.com","Twitter Web Client")</f>
        <v>Twitter Web Client</v>
      </c>
      <c r="L875" s="13">
        <v>1915</v>
      </c>
      <c r="M875" s="13">
        <v>1967</v>
      </c>
      <c r="N875" s="13">
        <v>68</v>
      </c>
      <c r="O875" s="15"/>
      <c r="P875" s="6">
        <v>40818.33734953704</v>
      </c>
      <c r="Q875" s="17" t="s">
        <v>3237</v>
      </c>
      <c r="R875" s="16" t="s">
        <v>3238</v>
      </c>
      <c r="S875" s="12"/>
      <c r="T875" s="12"/>
      <c r="U875" s="10" t="str">
        <f>HYPERLINK("https://pbs.twimg.com/profile_images/598498553070276608/whLWQ3SW.jpg","View")</f>
        <v>View</v>
      </c>
    </row>
    <row r="876" spans="1:21" ht="20.399999999999999">
      <c r="A876" s="6">
        <v>43425.338194444441</v>
      </c>
      <c r="B876" s="7" t="str">
        <f>HYPERLINK("https://twitter.com/voz_populi","@voz_populi")</f>
        <v>@voz_populi</v>
      </c>
      <c r="C876" s="8" t="s">
        <v>3239</v>
      </c>
      <c r="D876" s="9" t="s">
        <v>3240</v>
      </c>
      <c r="E876" s="10" t="str">
        <f>HYPERLINK("https://twitter.com/voz_populi/status/1065275395782705154","1065275395782705154")</f>
        <v>1065275395782705154</v>
      </c>
      <c r="F876" s="11" t="s">
        <v>3241</v>
      </c>
      <c r="G876" s="12"/>
      <c r="H876" s="12"/>
      <c r="I876" s="13">
        <v>0</v>
      </c>
      <c r="J876" s="13">
        <v>0</v>
      </c>
      <c r="K876" s="14" t="str">
        <f>HYPERLINK("https://buffer.com","Buffer")</f>
        <v>Buffer</v>
      </c>
      <c r="L876" s="13">
        <v>92736</v>
      </c>
      <c r="M876" s="13">
        <v>1393</v>
      </c>
      <c r="N876" s="13">
        <v>2701</v>
      </c>
      <c r="O876" s="19" t="s">
        <v>74</v>
      </c>
      <c r="P876" s="6">
        <v>40792.210856481484</v>
      </c>
      <c r="Q876" s="12"/>
      <c r="R876" s="16" t="s">
        <v>3242</v>
      </c>
      <c r="S876" s="11" t="s">
        <v>3243</v>
      </c>
      <c r="T876" s="12"/>
      <c r="U876" s="10" t="str">
        <f>HYPERLINK("https://pbs.twimg.com/profile_images/1006562248830144512/xFizZY0L.jpg","View")</f>
        <v>View</v>
      </c>
    </row>
    <row r="877" spans="1:21" ht="51">
      <c r="A877" s="6">
        <v>43425.337268518517</v>
      </c>
      <c r="B877" s="7" t="str">
        <f>HYPERLINK("https://twitter.com/7_ZeRoIo","@7_ZeRoIo")</f>
        <v>@7_ZeRoIo</v>
      </c>
      <c r="C877" s="8" t="s">
        <v>2989</v>
      </c>
      <c r="D877" s="9" t="s">
        <v>3244</v>
      </c>
      <c r="E877" s="10" t="str">
        <f>HYPERLINK("https://twitter.com/7_ZeRoIo/status/1065275057692393473","1065275057692393473")</f>
        <v>1065275057692393473</v>
      </c>
      <c r="F877" s="12"/>
      <c r="G877" s="11" t="s">
        <v>3245</v>
      </c>
      <c r="H877" s="12"/>
      <c r="I877" s="13">
        <v>1</v>
      </c>
      <c r="J877" s="13">
        <v>4</v>
      </c>
      <c r="K877" s="14" t="str">
        <f>HYPERLINK("http://twitter.com/download/android","Twitter for Android")</f>
        <v>Twitter for Android</v>
      </c>
      <c r="L877" s="13">
        <v>2965</v>
      </c>
      <c r="M877" s="13">
        <v>3738</v>
      </c>
      <c r="N877" s="13">
        <v>2</v>
      </c>
      <c r="O877" s="15"/>
      <c r="P877" s="6">
        <v>42329.421481481477</v>
      </c>
      <c r="Q877" s="17" t="s">
        <v>2992</v>
      </c>
      <c r="R877" s="16" t="s">
        <v>2993</v>
      </c>
      <c r="S877" s="12"/>
      <c r="T877" s="12"/>
      <c r="U877" s="10" t="str">
        <f>HYPERLINK("https://pbs.twimg.com/profile_images/1057754774085476352/Zcy5ihHq.jpg","View")</f>
        <v>View</v>
      </c>
    </row>
    <row r="878" spans="1:21" ht="30.6">
      <c r="A878" s="6">
        <v>43425.336921296301</v>
      </c>
      <c r="B878" s="7" t="str">
        <f>HYPERLINK("https://twitter.com/elEconomistaes","@elEconomistaes")</f>
        <v>@elEconomistaes</v>
      </c>
      <c r="C878" s="20" t="s">
        <v>3246</v>
      </c>
      <c r="D878" s="9" t="s">
        <v>3247</v>
      </c>
      <c r="E878" s="10" t="str">
        <f>HYPERLINK("https://twitter.com/elEconomistaes/status/1065274930764414977","1065274930764414977")</f>
        <v>1065274930764414977</v>
      </c>
      <c r="F878" s="11" t="s">
        <v>3248</v>
      </c>
      <c r="G878" s="12"/>
      <c r="H878" s="12"/>
      <c r="I878" s="13">
        <v>4</v>
      </c>
      <c r="J878" s="13">
        <v>2</v>
      </c>
      <c r="K878" s="14" t="str">
        <f t="shared" ref="K878:K879" si="162">HYPERLINK("http://twitter.com","Twitter Web Client")</f>
        <v>Twitter Web Client</v>
      </c>
      <c r="L878" s="13">
        <v>655203</v>
      </c>
      <c r="M878" s="13">
        <v>369</v>
      </c>
      <c r="N878" s="13">
        <v>8755</v>
      </c>
      <c r="O878" s="19" t="s">
        <v>74</v>
      </c>
      <c r="P878" s="6">
        <v>40373.10664351852</v>
      </c>
      <c r="Q878" s="12"/>
      <c r="R878" s="16" t="s">
        <v>3249</v>
      </c>
      <c r="S878" s="11" t="s">
        <v>3250</v>
      </c>
      <c r="T878" s="12"/>
      <c r="U878" s="10" t="str">
        <f>HYPERLINK("https://pbs.twimg.com/profile_images/899527230833012736/uMjGoE60.jpg","View")</f>
        <v>View</v>
      </c>
    </row>
    <row r="879" spans="1:21" ht="40.799999999999997">
      <c r="A879" s="6">
        <v>43425.336284722223</v>
      </c>
      <c r="B879" s="7" t="str">
        <f>HYPERLINK("https://twitter.com/salvadorpastorb","@salvadorpastorb")</f>
        <v>@salvadorpastorb</v>
      </c>
      <c r="C879" s="8" t="s">
        <v>3251</v>
      </c>
      <c r="D879" s="9" t="s">
        <v>3252</v>
      </c>
      <c r="E879" s="10" t="str">
        <f>HYPERLINK("https://twitter.com/salvadorpastorb/status/1065274700081840128","1065274700081840128")</f>
        <v>1065274700081840128</v>
      </c>
      <c r="F879" s="11" t="s">
        <v>3235</v>
      </c>
      <c r="G879" s="12"/>
      <c r="H879" s="12"/>
      <c r="I879" s="13">
        <v>0</v>
      </c>
      <c r="J879" s="13">
        <v>0</v>
      </c>
      <c r="K879" s="14" t="str">
        <f t="shared" si="162"/>
        <v>Twitter Web Client</v>
      </c>
      <c r="L879" s="13">
        <v>1851</v>
      </c>
      <c r="M879" s="13">
        <v>5004</v>
      </c>
      <c r="N879" s="13">
        <v>50</v>
      </c>
      <c r="O879" s="15"/>
      <c r="P879" s="6">
        <v>40971.659629629634</v>
      </c>
      <c r="Q879" s="17" t="s">
        <v>29</v>
      </c>
      <c r="R879" s="16" t="s">
        <v>3253</v>
      </c>
      <c r="S879" s="11" t="s">
        <v>3254</v>
      </c>
      <c r="T879" s="12"/>
      <c r="U879" s="10" t="str">
        <f>HYPERLINK("https://pbs.twimg.com/profile_images/1872162133/Imagen__4_.jpg","View")</f>
        <v>View</v>
      </c>
    </row>
    <row r="880" spans="1:21" ht="20.399999999999999">
      <c r="A880" s="6">
        <v>43425.336145833338</v>
      </c>
      <c r="B880" s="7" t="str">
        <f>HYPERLINK("https://twitter.com/TheNativeTigger","@TheNativeTigger")</f>
        <v>@TheNativeTigger</v>
      </c>
      <c r="C880" s="8" t="s">
        <v>3255</v>
      </c>
      <c r="D880" s="9" t="s">
        <v>3256</v>
      </c>
      <c r="E880" s="10" t="str">
        <f>HYPERLINK("https://twitter.com/TheNativeTigger/status/1065274650769453058","1065274650769453058")</f>
        <v>1065274650769453058</v>
      </c>
      <c r="F880" s="12"/>
      <c r="G880" s="12"/>
      <c r="H880" s="12"/>
      <c r="I880" s="13">
        <v>0</v>
      </c>
      <c r="J880" s="13">
        <v>7</v>
      </c>
      <c r="K880" s="14" t="str">
        <f>HYPERLINK("http://twitter.com/download/iphone","Twitter for iPhone")</f>
        <v>Twitter for iPhone</v>
      </c>
      <c r="L880" s="13">
        <v>490</v>
      </c>
      <c r="M880" s="13">
        <v>98</v>
      </c>
      <c r="N880" s="13">
        <v>0</v>
      </c>
      <c r="O880" s="15"/>
      <c r="P880" s="6">
        <v>41167.554456018523</v>
      </c>
      <c r="Q880" s="12"/>
      <c r="R880" s="16" t="s">
        <v>3257</v>
      </c>
      <c r="S880" s="12"/>
      <c r="T880" s="12"/>
      <c r="U880" s="10" t="str">
        <f>HYPERLINK("https://pbs.twimg.com/profile_images/1065241698832400385/iplfUHDl.jpg","View")</f>
        <v>View</v>
      </c>
    </row>
    <row r="881" spans="1:21" ht="30.6">
      <c r="A881" s="6">
        <v>43425.331469907411</v>
      </c>
      <c r="B881" s="7" t="str">
        <f>HYPERLINK("https://twitter.com/MaiteRepulicana","@MaiteRepulicana")</f>
        <v>@MaiteRepulicana</v>
      </c>
      <c r="C881" s="8" t="s">
        <v>3258</v>
      </c>
      <c r="D881" s="9" t="s">
        <v>3259</v>
      </c>
      <c r="E881" s="10" t="str">
        <f>HYPERLINK("https://twitter.com/MaiteRepulicana/status/1065272958736834560","1065272958736834560")</f>
        <v>1065272958736834560</v>
      </c>
      <c r="F881" s="12"/>
      <c r="G881" s="12"/>
      <c r="H881" s="12"/>
      <c r="I881" s="13">
        <v>0</v>
      </c>
      <c r="J881" s="13">
        <v>0</v>
      </c>
      <c r="K881" s="14" t="str">
        <f>HYPERLINK("http://twitter.com","Twitter Web Client")</f>
        <v>Twitter Web Client</v>
      </c>
      <c r="L881" s="13">
        <v>1610</v>
      </c>
      <c r="M881" s="13">
        <v>1148</v>
      </c>
      <c r="N881" s="13">
        <v>41</v>
      </c>
      <c r="O881" s="15"/>
      <c r="P881" s="6">
        <v>42557.438530092593</v>
      </c>
      <c r="Q881" s="12"/>
      <c r="R881" s="16" t="s">
        <v>3260</v>
      </c>
      <c r="S881" s="12"/>
      <c r="T881" s="12"/>
      <c r="U881" s="10" t="str">
        <f>HYPERLINK("https://pbs.twimg.com/profile_images/750748589517860864/ElQjP7WF.jpg","View")</f>
        <v>View</v>
      </c>
    </row>
    <row r="882" spans="1:21" ht="20.399999999999999">
      <c r="A882" s="6">
        <v>43425.330671296295</v>
      </c>
      <c r="B882" s="7" t="str">
        <f>HYPERLINK("https://twitter.com/tatuandome","@tatuandome")</f>
        <v>@tatuandome</v>
      </c>
      <c r="C882" s="8" t="s">
        <v>3261</v>
      </c>
      <c r="D882" s="9" t="s">
        <v>3262</v>
      </c>
      <c r="E882" s="10" t="str">
        <f>HYPERLINK("https://twitter.com/tatuandome/status/1065272669132738561","1065272669132738561")</f>
        <v>1065272669132738561</v>
      </c>
      <c r="F882" s="11" t="s">
        <v>3263</v>
      </c>
      <c r="G882" s="12"/>
      <c r="H882" s="12"/>
      <c r="I882" s="13">
        <v>0</v>
      </c>
      <c r="J882" s="13">
        <v>0</v>
      </c>
      <c r="K882" s="14" t="str">
        <f>HYPERLINK("http://twitter.com/download/android","Twitter for Android")</f>
        <v>Twitter for Android</v>
      </c>
      <c r="L882" s="13">
        <v>221</v>
      </c>
      <c r="M882" s="13">
        <v>639</v>
      </c>
      <c r="N882" s="13">
        <v>3</v>
      </c>
      <c r="O882" s="15"/>
      <c r="P882" s="6">
        <v>40542.242743055554</v>
      </c>
      <c r="Q882" s="17" t="s">
        <v>392</v>
      </c>
      <c r="R882" s="16" t="s">
        <v>3264</v>
      </c>
      <c r="S882" s="12"/>
      <c r="T882" s="12"/>
      <c r="U882" s="10" t="str">
        <f>HYPERLINK("https://pbs.twimg.com/profile_images/914643180582293506/dvSb0ZdH.jpg","View")</f>
        <v>View</v>
      </c>
    </row>
    <row r="883" spans="1:21" ht="61.2">
      <c r="A883" s="6">
        <v>43425.328541666662</v>
      </c>
      <c r="B883" s="7" t="str">
        <f>HYPERLINK("https://twitter.com/ManoloDauro","@ManoloDauro")</f>
        <v>@ManoloDauro</v>
      </c>
      <c r="C883" s="8" t="s">
        <v>3265</v>
      </c>
      <c r="D883" s="9" t="s">
        <v>3266</v>
      </c>
      <c r="E883" s="10" t="str">
        <f>HYPERLINK("https://twitter.com/ManoloDauro/status/1065271895468187648","1065271895468187648")</f>
        <v>1065271895468187648</v>
      </c>
      <c r="F883" s="17" t="s">
        <v>3267</v>
      </c>
      <c r="G883" s="11" t="s">
        <v>3268</v>
      </c>
      <c r="H883" s="12"/>
      <c r="I883" s="13">
        <v>0</v>
      </c>
      <c r="J883" s="13">
        <v>0</v>
      </c>
      <c r="K883" s="14" t="str">
        <f>HYPERLINK("http://twitter.com","Twitter Web Client")</f>
        <v>Twitter Web Client</v>
      </c>
      <c r="L883" s="13">
        <v>460</v>
      </c>
      <c r="M883" s="13">
        <v>382</v>
      </c>
      <c r="N883" s="13">
        <v>14</v>
      </c>
      <c r="O883" s="15"/>
      <c r="P883" s="6">
        <v>40699.349363425928</v>
      </c>
      <c r="Q883" s="12"/>
      <c r="R883" s="16" t="s">
        <v>3269</v>
      </c>
      <c r="S883" s="12"/>
      <c r="T883" s="12"/>
      <c r="U883" s="10" t="str">
        <f>HYPERLINK("https://pbs.twimg.com/profile_images/1000402228585336832/sNK4RtHN.jpg","View")</f>
        <v>View</v>
      </c>
    </row>
    <row r="884" spans="1:21" ht="40.799999999999997">
      <c r="A884" s="6">
        <v>43425.32849537037</v>
      </c>
      <c r="B884" s="7" t="str">
        <f>HYPERLINK("https://twitter.com/caencomonueces","@caencomonueces")</f>
        <v>@caencomonueces</v>
      </c>
      <c r="C884" s="8" t="s">
        <v>3270</v>
      </c>
      <c r="D884" s="9" t="s">
        <v>3271</v>
      </c>
      <c r="E884" s="10" t="str">
        <f>HYPERLINK("https://twitter.com/caencomonueces/status/1065271879777292288","1065271879777292288")</f>
        <v>1065271879777292288</v>
      </c>
      <c r="F884" s="11" t="s">
        <v>2005</v>
      </c>
      <c r="G884" s="12"/>
      <c r="H884" s="12"/>
      <c r="I884" s="13">
        <v>0</v>
      </c>
      <c r="J884" s="13">
        <v>0</v>
      </c>
      <c r="K884" s="14" t="str">
        <f t="shared" ref="K884:K885" si="163">HYPERLINK("http://twitter.com/download/android","Twitter for Android")</f>
        <v>Twitter for Android</v>
      </c>
      <c r="L884" s="13">
        <v>629</v>
      </c>
      <c r="M884" s="13">
        <v>1153</v>
      </c>
      <c r="N884" s="13">
        <v>3</v>
      </c>
      <c r="O884" s="15"/>
      <c r="P884" s="6">
        <v>41242.426539351851</v>
      </c>
      <c r="Q884" s="17" t="s">
        <v>374</v>
      </c>
      <c r="R884" s="16" t="s">
        <v>3272</v>
      </c>
      <c r="S884" s="12"/>
      <c r="T884" s="12"/>
      <c r="U884" s="10" t="str">
        <f>HYPERLINK("https://pbs.twimg.com/profile_images/802542076420378628/S_52YFJA.jpg","View")</f>
        <v>View</v>
      </c>
    </row>
    <row r="885" spans="1:21" ht="40.799999999999997">
      <c r="A885" s="6">
        <v>43425.323784722219</v>
      </c>
      <c r="B885" s="7" t="str">
        <f>HYPERLINK("https://twitter.com/baterianakama","@baterianakama")</f>
        <v>@baterianakama</v>
      </c>
      <c r="C885" s="8" t="s">
        <v>3273</v>
      </c>
      <c r="D885" s="9" t="s">
        <v>3274</v>
      </c>
      <c r="E885" s="10" t="str">
        <f>HYPERLINK("https://twitter.com/baterianakama/status/1065270173567877122","1065270173567877122")</f>
        <v>1065270173567877122</v>
      </c>
      <c r="F885" s="12"/>
      <c r="G885" s="12"/>
      <c r="H885" s="12"/>
      <c r="I885" s="13">
        <v>0</v>
      </c>
      <c r="J885" s="13">
        <v>6</v>
      </c>
      <c r="K885" s="14" t="str">
        <f t="shared" si="163"/>
        <v>Twitter for Android</v>
      </c>
      <c r="L885" s="13">
        <v>2430</v>
      </c>
      <c r="M885" s="13">
        <v>942</v>
      </c>
      <c r="N885" s="13">
        <v>68</v>
      </c>
      <c r="O885" s="15"/>
      <c r="P885" s="6">
        <v>41284.648645833331</v>
      </c>
      <c r="Q885" s="17" t="s">
        <v>3275</v>
      </c>
      <c r="R885" s="16" t="s">
        <v>3276</v>
      </c>
      <c r="S885" s="12"/>
      <c r="T885" s="12"/>
      <c r="U885" s="10" t="str">
        <f>HYPERLINK("https://pbs.twimg.com/profile_images/1051133845041491968/SqFEScBw.jpg","View")</f>
        <v>View</v>
      </c>
    </row>
    <row r="886" spans="1:21" ht="61.2">
      <c r="A886" s="6">
        <v>43425.31114583333</v>
      </c>
      <c r="B886" s="7" t="str">
        <f>HYPERLINK("https://twitter.com/joanmg93","@joanmg93")</f>
        <v>@joanmg93</v>
      </c>
      <c r="C886" s="8" t="s">
        <v>3277</v>
      </c>
      <c r="D886" s="9" t="s">
        <v>3278</v>
      </c>
      <c r="E886" s="10" t="str">
        <f>HYPERLINK("https://twitter.com/joanmg93/status/1065265591626465281","1065265591626465281")</f>
        <v>1065265591626465281</v>
      </c>
      <c r="F886" s="12"/>
      <c r="G886" s="11" t="s">
        <v>3279</v>
      </c>
      <c r="H886" s="12"/>
      <c r="I886" s="13">
        <v>1</v>
      </c>
      <c r="J886" s="13">
        <v>1</v>
      </c>
      <c r="K886" s="14" t="str">
        <f>HYPERLINK("http://twitter.com/download/iphone","Twitter for iPhone")</f>
        <v>Twitter for iPhone</v>
      </c>
      <c r="L886" s="13">
        <v>887</v>
      </c>
      <c r="M886" s="13">
        <v>611</v>
      </c>
      <c r="N886" s="13">
        <v>12</v>
      </c>
      <c r="O886" s="15"/>
      <c r="P886" s="6">
        <v>40809.208564814813</v>
      </c>
      <c r="Q886" s="17" t="s">
        <v>3281</v>
      </c>
      <c r="R886" s="16" t="s">
        <v>3282</v>
      </c>
      <c r="S886" s="11" t="s">
        <v>3283</v>
      </c>
      <c r="T886" s="12"/>
      <c r="U886" s="10" t="str">
        <f>HYPERLINK("https://pbs.twimg.com/profile_images/948203190591414272/fQ5NVa_E.jpg","View")</f>
        <v>View</v>
      </c>
    </row>
    <row r="887" spans="1:21" ht="40.799999999999997">
      <c r="A887" s="6">
        <v>43425.307754629626</v>
      </c>
      <c r="B887" s="7" t="str">
        <f>HYPERLINK("https://twitter.com/LourdesBiurrun","@LourdesBiurrun")</f>
        <v>@LourdesBiurrun</v>
      </c>
      <c r="C887" s="8" t="s">
        <v>3284</v>
      </c>
      <c r="D887" s="9" t="s">
        <v>3285</v>
      </c>
      <c r="E887" s="10" t="str">
        <f>HYPERLINK("https://twitter.com/LourdesBiurrun/status/1065264364226338816","1065264364226338816")</f>
        <v>1065264364226338816</v>
      </c>
      <c r="F887" s="11" t="s">
        <v>3286</v>
      </c>
      <c r="G887" s="12"/>
      <c r="H887" s="12"/>
      <c r="I887" s="13">
        <v>0</v>
      </c>
      <c r="J887" s="13">
        <v>3</v>
      </c>
      <c r="K887" s="14" t="str">
        <f>HYPERLINK("http://instagram.com","Instagram")</f>
        <v>Instagram</v>
      </c>
      <c r="L887" s="13">
        <v>1117</v>
      </c>
      <c r="M887" s="13">
        <v>339</v>
      </c>
      <c r="N887" s="13">
        <v>25</v>
      </c>
      <c r="O887" s="15"/>
      <c r="P887" s="6">
        <v>41171.389247685183</v>
      </c>
      <c r="Q887" s="17" t="s">
        <v>3287</v>
      </c>
      <c r="R887" s="16" t="s">
        <v>3288</v>
      </c>
      <c r="S887" s="12"/>
      <c r="T887" s="12"/>
      <c r="U887" s="10" t="str">
        <f>HYPERLINK("https://pbs.twimg.com/profile_images/1019253073531887616/mK_0-Uak.jpg","View")</f>
        <v>View</v>
      </c>
    </row>
    <row r="888" spans="1:21" ht="30.6">
      <c r="A888" s="6">
        <v>43425.305648148147</v>
      </c>
      <c r="B888" s="7" t="str">
        <f>HYPERLINK("https://twitter.com/Cambio16","@Cambio16")</f>
        <v>@Cambio16</v>
      </c>
      <c r="C888" s="8" t="s">
        <v>953</v>
      </c>
      <c r="D888" s="9" t="s">
        <v>3289</v>
      </c>
      <c r="E888" s="10" t="str">
        <f>HYPERLINK("https://twitter.com/Cambio16/status/1065263598484766720","1065263598484766720")</f>
        <v>1065263598484766720</v>
      </c>
      <c r="F888" s="11" t="s">
        <v>2419</v>
      </c>
      <c r="G888" s="11" t="s">
        <v>2420</v>
      </c>
      <c r="H888" s="12"/>
      <c r="I888" s="13">
        <v>1</v>
      </c>
      <c r="J888" s="13">
        <v>0</v>
      </c>
      <c r="K888" s="14" t="str">
        <f>HYPERLINK("https://www.hootsuite.com","Hootsuite Inc.")</f>
        <v>Hootsuite Inc.</v>
      </c>
      <c r="L888" s="13">
        <v>17345</v>
      </c>
      <c r="M888" s="13">
        <v>765</v>
      </c>
      <c r="N888" s="13">
        <v>499</v>
      </c>
      <c r="O888" s="15"/>
      <c r="P888" s="6">
        <v>40341.117245370369</v>
      </c>
      <c r="Q888" s="17" t="s">
        <v>143</v>
      </c>
      <c r="R888" s="16" t="s">
        <v>958</v>
      </c>
      <c r="S888" s="11" t="s">
        <v>959</v>
      </c>
      <c r="T888" s="12"/>
      <c r="U888" s="10" t="str">
        <f>HYPERLINK("https://pbs.twimg.com/profile_images/1060221846208069632/vJfJ3_T5.jpg","View")</f>
        <v>View</v>
      </c>
    </row>
    <row r="889" spans="1:21" ht="40.799999999999997">
      <c r="A889" s="6">
        <v>43425.304791666669</v>
      </c>
      <c r="B889" s="7" t="str">
        <f>HYPERLINK("https://twitter.com/Calaixwebloc","@Calaixwebloc")</f>
        <v>@Calaixwebloc</v>
      </c>
      <c r="C889" s="8" t="s">
        <v>3290</v>
      </c>
      <c r="D889" s="9" t="s">
        <v>3291</v>
      </c>
      <c r="E889" s="10" t="str">
        <f>HYPERLINK("https://twitter.com/Calaixwebloc/status/1065263288060121091","1065263288060121091")</f>
        <v>1065263288060121091</v>
      </c>
      <c r="F889" s="11" t="s">
        <v>2219</v>
      </c>
      <c r="G889" s="12"/>
      <c r="H889" s="12"/>
      <c r="I889" s="13">
        <v>0</v>
      </c>
      <c r="J889" s="13">
        <v>0</v>
      </c>
      <c r="K889" s="14" t="str">
        <f>HYPERLINK("http://twitter.com","Twitter Web Client")</f>
        <v>Twitter Web Client</v>
      </c>
      <c r="L889" s="13">
        <v>2921</v>
      </c>
      <c r="M889" s="13">
        <v>2864</v>
      </c>
      <c r="N889" s="13">
        <v>91</v>
      </c>
      <c r="O889" s="15"/>
      <c r="P889" s="6">
        <v>40037.406689814816</v>
      </c>
      <c r="Q889" s="17" t="s">
        <v>419</v>
      </c>
      <c r="R889" s="16" t="s">
        <v>3292</v>
      </c>
      <c r="S889" s="11" t="s">
        <v>3293</v>
      </c>
      <c r="T889" s="12"/>
      <c r="U889" s="10" t="str">
        <f>HYPERLINK("https://pbs.twimg.com/profile_images/987729592923418629/vHhKvk5K.jpg","View")</f>
        <v>View</v>
      </c>
    </row>
    <row r="890" spans="1:21" ht="40.799999999999997">
      <c r="A890" s="6">
        <v>43425.303622685184</v>
      </c>
      <c r="B890" s="7" t="str">
        <f>HYPERLINK("https://twitter.com/TeodoroIdeLeon","@TeodoroIdeLeon")</f>
        <v>@TeodoroIdeLeon</v>
      </c>
      <c r="C890" s="8" t="s">
        <v>3294</v>
      </c>
      <c r="D890" s="9" t="s">
        <v>3295</v>
      </c>
      <c r="E890" s="10" t="str">
        <f>HYPERLINK("https://twitter.com/TeodoroIdeLeon/status/1065262867132366848","1065262867132366848")</f>
        <v>1065262867132366848</v>
      </c>
      <c r="F890" s="12"/>
      <c r="G890" s="12"/>
      <c r="H890" s="12"/>
      <c r="I890" s="13">
        <v>0</v>
      </c>
      <c r="J890" s="13">
        <v>0</v>
      </c>
      <c r="K890" s="14" t="str">
        <f t="shared" ref="K890:K892" si="164">HYPERLINK("http://twitter.com/download/android","Twitter for Android")</f>
        <v>Twitter for Android</v>
      </c>
      <c r="L890" s="13">
        <v>84</v>
      </c>
      <c r="M890" s="13">
        <v>591</v>
      </c>
      <c r="N890" s="13">
        <v>0</v>
      </c>
      <c r="O890" s="15"/>
      <c r="P890" s="6">
        <v>42892.320625</v>
      </c>
      <c r="Q890" s="17" t="s">
        <v>2486</v>
      </c>
      <c r="R890" s="16" t="s">
        <v>3296</v>
      </c>
      <c r="S890" s="12"/>
      <c r="T890" s="12"/>
      <c r="U890" s="10" t="str">
        <f>HYPERLINK("https://pbs.twimg.com/profile_images/872114015497056258/jq1y-NUC.jpg","View")</f>
        <v>View</v>
      </c>
    </row>
    <row r="891" spans="1:21" ht="20.399999999999999">
      <c r="A891" s="6">
        <v>43425.303460648152</v>
      </c>
      <c r="B891" s="7" t="str">
        <f>HYPERLINK("https://twitter.com/BegotxuBoo","@BegotxuBoo")</f>
        <v>@BegotxuBoo</v>
      </c>
      <c r="C891" s="8" t="s">
        <v>1964</v>
      </c>
      <c r="D891" s="9" t="s">
        <v>3297</v>
      </c>
      <c r="E891" s="10" t="str">
        <f>HYPERLINK("https://twitter.com/BegotxuBoo/status/1065262807845937152","1065262807845937152")</f>
        <v>1065262807845937152</v>
      </c>
      <c r="F891" s="12"/>
      <c r="G891" s="12"/>
      <c r="H891" s="12"/>
      <c r="I891" s="13">
        <v>0</v>
      </c>
      <c r="J891" s="13">
        <v>8</v>
      </c>
      <c r="K891" s="14" t="str">
        <f t="shared" si="164"/>
        <v>Twitter for Android</v>
      </c>
      <c r="L891" s="13">
        <v>13446</v>
      </c>
      <c r="M891" s="13">
        <v>626</v>
      </c>
      <c r="N891" s="13">
        <v>153</v>
      </c>
      <c r="O891" s="15"/>
      <c r="P891" s="6">
        <v>41150.160833333335</v>
      </c>
      <c r="Q891" s="12"/>
      <c r="R891" s="16" t="s">
        <v>1966</v>
      </c>
      <c r="S891" s="12"/>
      <c r="T891" s="12"/>
      <c r="U891" s="10" t="str">
        <f>HYPERLINK("https://pbs.twimg.com/profile_images/534266200818483200/_78fiChL.jpeg","View")</f>
        <v>View</v>
      </c>
    </row>
    <row r="892" spans="1:21" ht="40.799999999999997">
      <c r="A892" s="6">
        <v>43425.302777777775</v>
      </c>
      <c r="B892" s="7" t="str">
        <f>HYPERLINK("https://twitter.com/pepefiol","@pepefiol")</f>
        <v>@pepefiol</v>
      </c>
      <c r="C892" s="8" t="s">
        <v>3298</v>
      </c>
      <c r="D892" s="9" t="s">
        <v>3299</v>
      </c>
      <c r="E892" s="10" t="str">
        <f>HYPERLINK("https://twitter.com/pepefiol/status/1065262560109371392","1065262560109371392")</f>
        <v>1065262560109371392</v>
      </c>
      <c r="F892" s="12"/>
      <c r="G892" s="12"/>
      <c r="H892" s="12"/>
      <c r="I892" s="13">
        <v>0</v>
      </c>
      <c r="J892" s="13">
        <v>7</v>
      </c>
      <c r="K892" s="14" t="str">
        <f t="shared" si="164"/>
        <v>Twitter for Android</v>
      </c>
      <c r="L892" s="13">
        <v>8</v>
      </c>
      <c r="M892" s="13">
        <v>15</v>
      </c>
      <c r="N892" s="13">
        <v>0</v>
      </c>
      <c r="O892" s="15"/>
      <c r="P892" s="6">
        <v>40640.608935185184</v>
      </c>
      <c r="Q892" s="12"/>
      <c r="R892" s="16" t="s">
        <v>3300</v>
      </c>
      <c r="S892" s="12"/>
      <c r="T892" s="12"/>
      <c r="U892" s="10" t="str">
        <f>HYPERLINK("https://pbs.twimg.com/profile_images/938465999032147968/SW__U3hB.jpg","View")</f>
        <v>View</v>
      </c>
    </row>
    <row r="893" spans="1:21" ht="30.6">
      <c r="A893" s="6">
        <v>43425.290092592593</v>
      </c>
      <c r="B893" s="7" t="str">
        <f>HYPERLINK("https://twitter.com/catymu2","@catymu2")</f>
        <v>@catymu2</v>
      </c>
      <c r="C893" s="8" t="s">
        <v>3301</v>
      </c>
      <c r="D893" s="9" t="s">
        <v>3302</v>
      </c>
      <c r="E893" s="10" t="str">
        <f>HYPERLINK("https://twitter.com/catymu2/status/1065257961822535681","1065257961822535681")</f>
        <v>1065257961822535681</v>
      </c>
      <c r="F893" s="11" t="s">
        <v>2005</v>
      </c>
      <c r="G893" s="12"/>
      <c r="H893" s="12"/>
      <c r="I893" s="13">
        <v>0</v>
      </c>
      <c r="J893" s="13">
        <v>0</v>
      </c>
      <c r="K893" s="14" t="str">
        <f>HYPERLINK("http://twitter.com","Twitter Web Client")</f>
        <v>Twitter Web Client</v>
      </c>
      <c r="L893" s="13">
        <v>43</v>
      </c>
      <c r="M893" s="13">
        <v>128</v>
      </c>
      <c r="N893" s="13">
        <v>0</v>
      </c>
      <c r="O893" s="15"/>
      <c r="P893" s="6">
        <v>42432.081226851849</v>
      </c>
      <c r="Q893" s="17" t="s">
        <v>29</v>
      </c>
      <c r="R893" s="18"/>
      <c r="S893" s="12"/>
      <c r="T893" s="12"/>
      <c r="U893" s="10" t="str">
        <f>HYPERLINK("https://pbs.twimg.com/profile_images/1009103258785402882/34q9w8XC.jpg","View")</f>
        <v>View</v>
      </c>
    </row>
    <row r="894" spans="1:21" ht="30.6">
      <c r="A894" s="6">
        <v>43425.288553240738</v>
      </c>
      <c r="B894" s="7" t="str">
        <f>HYPERLINK("https://twitter.com/guapinstant","@guapinstant")</f>
        <v>@guapinstant</v>
      </c>
      <c r="C894" s="8" t="s">
        <v>3303</v>
      </c>
      <c r="D894" s="9" t="s">
        <v>3304</v>
      </c>
      <c r="E894" s="10" t="str">
        <f>HYPERLINK("https://twitter.com/guapinstant/status/1065257404940673024","1065257404940673024")</f>
        <v>1065257404940673024</v>
      </c>
      <c r="F894" s="11" t="s">
        <v>3305</v>
      </c>
      <c r="G894" s="12"/>
      <c r="H894" s="12"/>
      <c r="I894" s="13">
        <v>0</v>
      </c>
      <c r="J894" s="13">
        <v>0</v>
      </c>
      <c r="K894" s="14" t="str">
        <f>HYPERLINK("http://www.samruston.co.uk","Flamingo for Android")</f>
        <v>Flamingo for Android</v>
      </c>
      <c r="L894" s="13">
        <v>900</v>
      </c>
      <c r="M894" s="13">
        <v>862</v>
      </c>
      <c r="N894" s="13">
        <v>5</v>
      </c>
      <c r="O894" s="15"/>
      <c r="P894" s="6">
        <v>40846.52443287037</v>
      </c>
      <c r="Q894" s="12"/>
      <c r="R894" s="16" t="s">
        <v>3306</v>
      </c>
      <c r="S894" s="12"/>
      <c r="T894" s="12"/>
      <c r="U894" s="10" t="str">
        <f>HYPERLINK("https://pbs.twimg.com/profile_images/666373148774899713/QDA0yfb7.jpg","View")</f>
        <v>View</v>
      </c>
    </row>
    <row r="895" spans="1:21" ht="51">
      <c r="A895" s="6">
        <v>43425.28805555556</v>
      </c>
      <c r="B895" s="7" t="str">
        <f t="shared" ref="B895:B896" si="165">HYPERLINK("https://twitter.com/larodapsoe","@larodapsoe")</f>
        <v>@larodapsoe</v>
      </c>
      <c r="C895" s="8" t="s">
        <v>3307</v>
      </c>
      <c r="D895" s="9" t="s">
        <v>3308</v>
      </c>
      <c r="E895" s="10" t="str">
        <f>HYPERLINK("https://twitter.com/larodapsoe/status/1065257224380006400","1065257224380006400")</f>
        <v>1065257224380006400</v>
      </c>
      <c r="F895" s="12"/>
      <c r="G895" s="11" t="s">
        <v>3309</v>
      </c>
      <c r="H895" s="12"/>
      <c r="I895" s="13">
        <v>1</v>
      </c>
      <c r="J895" s="13">
        <v>1</v>
      </c>
      <c r="K895" s="14" t="str">
        <f>HYPERLINK("http://twitter.com/download/android","Twitter for Android")</f>
        <v>Twitter for Android</v>
      </c>
      <c r="L895" s="13">
        <v>865</v>
      </c>
      <c r="M895" s="13">
        <v>707</v>
      </c>
      <c r="N895" s="13">
        <v>13</v>
      </c>
      <c r="O895" s="15"/>
      <c r="P895" s="6">
        <v>41163.300729166665</v>
      </c>
      <c r="Q895" s="12"/>
      <c r="R895" s="16" t="s">
        <v>3310</v>
      </c>
      <c r="S895" s="11" t="s">
        <v>3311</v>
      </c>
      <c r="T895" s="12"/>
      <c r="U895" s="10" t="str">
        <f t="shared" ref="U895:U896" si="166">HYPERLINK("https://pbs.twimg.com/profile_images/795967826829987840/f8S_PmrP.jpg","View")</f>
        <v>View</v>
      </c>
    </row>
    <row r="896" spans="1:21" ht="40.799999999999997">
      <c r="A896" s="6">
        <v>43425.287789351853</v>
      </c>
      <c r="B896" s="7" t="str">
        <f t="shared" si="165"/>
        <v>@larodapsoe</v>
      </c>
      <c r="C896" s="8" t="s">
        <v>3307</v>
      </c>
      <c r="D896" s="9" t="s">
        <v>3312</v>
      </c>
      <c r="E896" s="10" t="str">
        <f>HYPERLINK("https://twitter.com/larodapsoe/status/1065257127424462848","1065257127424462848")</f>
        <v>1065257127424462848</v>
      </c>
      <c r="F896" s="11" t="s">
        <v>3313</v>
      </c>
      <c r="G896" s="12"/>
      <c r="H896" s="12"/>
      <c r="I896" s="13">
        <v>0</v>
      </c>
      <c r="J896" s="13">
        <v>2</v>
      </c>
      <c r="K896" s="14" t="str">
        <f>HYPERLINK("http://www.facebook.com/twitter","Facebook")</f>
        <v>Facebook</v>
      </c>
      <c r="L896" s="13">
        <v>865</v>
      </c>
      <c r="M896" s="13">
        <v>707</v>
      </c>
      <c r="N896" s="13">
        <v>13</v>
      </c>
      <c r="O896" s="15"/>
      <c r="P896" s="6">
        <v>41163.300729166665</v>
      </c>
      <c r="Q896" s="12"/>
      <c r="R896" s="16" t="s">
        <v>3310</v>
      </c>
      <c r="S896" s="11" t="s">
        <v>3311</v>
      </c>
      <c r="T896" s="12"/>
      <c r="U896" s="10" t="str">
        <f t="shared" si="166"/>
        <v>View</v>
      </c>
    </row>
    <row r="897" spans="1:21" ht="30.6">
      <c r="A897" s="6">
        <v>43425.286481481482</v>
      </c>
      <c r="B897" s="7" t="str">
        <f>HYPERLINK("https://twitter.com/RicardoBerjon","@RicardoBerjon")</f>
        <v>@RicardoBerjon</v>
      </c>
      <c r="C897" s="8" t="s">
        <v>2137</v>
      </c>
      <c r="D897" s="9" t="s">
        <v>3314</v>
      </c>
      <c r="E897" s="10" t="str">
        <f>HYPERLINK("https://twitter.com/RicardoBerjon/status/1065256654030233600","1065256654030233600")</f>
        <v>1065256654030233600</v>
      </c>
      <c r="F897" s="11" t="s">
        <v>3315</v>
      </c>
      <c r="G897" s="12"/>
      <c r="H897" s="12"/>
      <c r="I897" s="13">
        <v>0</v>
      </c>
      <c r="J897" s="13">
        <v>0</v>
      </c>
      <c r="K897" s="14" t="str">
        <f t="shared" ref="K897:K898" si="167">HYPERLINK("http://twitter.com/download/iphone","Twitter for iPhone")</f>
        <v>Twitter for iPhone</v>
      </c>
      <c r="L897" s="13">
        <v>3801</v>
      </c>
      <c r="M897" s="13">
        <v>3702</v>
      </c>
      <c r="N897" s="13">
        <v>22</v>
      </c>
      <c r="O897" s="15"/>
      <c r="P897" s="6">
        <v>40950.409201388888</v>
      </c>
      <c r="Q897" s="17" t="s">
        <v>2138</v>
      </c>
      <c r="R897" s="16" t="s">
        <v>2139</v>
      </c>
      <c r="S897" s="12"/>
      <c r="T897" s="12"/>
      <c r="U897" s="10" t="str">
        <f>HYPERLINK("https://pbs.twimg.com/profile_images/884531663803473920/2QAJ43Oo.jpg","View")</f>
        <v>View</v>
      </c>
    </row>
    <row r="898" spans="1:21" ht="51">
      <c r="A898" s="6">
        <v>43425.281747685185</v>
      </c>
      <c r="B898" s="7" t="str">
        <f>HYPERLINK("https://twitter.com/CecilioCastro","@CecilioCastro")</f>
        <v>@CecilioCastro</v>
      </c>
      <c r="C898" s="8" t="s">
        <v>2809</v>
      </c>
      <c r="D898" s="9" t="s">
        <v>3316</v>
      </c>
      <c r="E898" s="10" t="str">
        <f>HYPERLINK("https://twitter.com/CecilioCastro/status/1065254940648636417","1065254940648636417")</f>
        <v>1065254940648636417</v>
      </c>
      <c r="F898" s="12"/>
      <c r="G898" s="12"/>
      <c r="H898" s="12"/>
      <c r="I898" s="13">
        <v>1</v>
      </c>
      <c r="J898" s="13">
        <v>2</v>
      </c>
      <c r="K898" s="14" t="str">
        <f t="shared" si="167"/>
        <v>Twitter for iPhone</v>
      </c>
      <c r="L898" s="13">
        <v>12761</v>
      </c>
      <c r="M898" s="13">
        <v>13343</v>
      </c>
      <c r="N898" s="13">
        <v>154</v>
      </c>
      <c r="O898" s="15"/>
      <c r="P898" s="6">
        <v>40830.480543981481</v>
      </c>
      <c r="Q898" s="17" t="s">
        <v>2814</v>
      </c>
      <c r="R898" s="16" t="s">
        <v>2815</v>
      </c>
      <c r="S898" s="11" t="s">
        <v>2816</v>
      </c>
      <c r="T898" s="12"/>
      <c r="U898" s="10" t="str">
        <f>HYPERLINK("https://pbs.twimg.com/profile_images/1033024985697267712/2ldOzQJi.jpg","View")</f>
        <v>View</v>
      </c>
    </row>
    <row r="899" spans="1:21" ht="13.2">
      <c r="A899" s="6">
        <v>43425.27988425926</v>
      </c>
      <c r="B899" s="7" t="str">
        <f>HYPERLINK("https://twitter.com/aalbatros","@aalbatros")</f>
        <v>@aalbatros</v>
      </c>
      <c r="C899" s="8" t="s">
        <v>3317</v>
      </c>
      <c r="D899" s="9" t="s">
        <v>3318</v>
      </c>
      <c r="E899" s="10" t="str">
        <f>HYPERLINK("https://twitter.com/aalbatros/status/1065254261477572608","1065254261477572608")</f>
        <v>1065254261477572608</v>
      </c>
      <c r="F899" s="12"/>
      <c r="G899" s="12"/>
      <c r="H899" s="12"/>
      <c r="I899" s="13">
        <v>0</v>
      </c>
      <c r="J899" s="13">
        <v>0</v>
      </c>
      <c r="K899" s="14" t="str">
        <f>HYPERLINK("http://twitter.com/download/android","Twitter for Android")</f>
        <v>Twitter for Android</v>
      </c>
      <c r="L899" s="13">
        <v>363</v>
      </c>
      <c r="M899" s="13">
        <v>915</v>
      </c>
      <c r="N899" s="13">
        <v>6</v>
      </c>
      <c r="O899" s="15"/>
      <c r="P899" s="6">
        <v>39965.56391203704</v>
      </c>
      <c r="Q899" s="17" t="s">
        <v>76</v>
      </c>
      <c r="R899" s="16" t="s">
        <v>3319</v>
      </c>
      <c r="S899" s="12"/>
      <c r="T899" s="12"/>
      <c r="U899" s="10" t="str">
        <f>HYPERLINK("https://pbs.twimg.com/profile_images/1054777247645790209/_cmg6X4E.jpg","View")</f>
        <v>View</v>
      </c>
    </row>
    <row r="900" spans="1:21" ht="30.6">
      <c r="A900" s="6">
        <v>43425.274826388893</v>
      </c>
      <c r="B900" s="7" t="str">
        <f>HYPERLINK("https://twitter.com/ManuB72179071","@ManuB72179071")</f>
        <v>@ManuB72179071</v>
      </c>
      <c r="C900" s="8" t="s">
        <v>3320</v>
      </c>
      <c r="D900" s="9" t="s">
        <v>3321</v>
      </c>
      <c r="E900" s="10" t="str">
        <f>HYPERLINK("https://twitter.com/ManuB72179071/status/1065252428579332096","1065252428579332096")</f>
        <v>1065252428579332096</v>
      </c>
      <c r="F900" s="12"/>
      <c r="G900" s="11" t="s">
        <v>3322</v>
      </c>
      <c r="H900" s="12"/>
      <c r="I900" s="13">
        <v>7</v>
      </c>
      <c r="J900" s="13">
        <v>5</v>
      </c>
      <c r="K900" s="14" t="str">
        <f>HYPERLINK("https://mobile.twitter.com","Twitter Lite")</f>
        <v>Twitter Lite</v>
      </c>
      <c r="L900" s="13">
        <v>2828</v>
      </c>
      <c r="M900" s="13">
        <v>4965</v>
      </c>
      <c r="N900" s="13">
        <v>1</v>
      </c>
      <c r="O900" s="15"/>
      <c r="P900" s="6">
        <v>43175.211689814816</v>
      </c>
      <c r="Q900" s="17" t="s">
        <v>3323</v>
      </c>
      <c r="R900" s="16" t="s">
        <v>3324</v>
      </c>
      <c r="S900" s="12"/>
      <c r="T900" s="12"/>
      <c r="U900" s="10" t="str">
        <f>HYPERLINK("https://pbs.twimg.com/profile_images/974738793847803905/GnVcFvLw.jpg","View")</f>
        <v>View</v>
      </c>
    </row>
    <row r="901" spans="1:21" ht="30.6">
      <c r="A901" s="6">
        <v>43425.270277777774</v>
      </c>
      <c r="B901" s="7" t="str">
        <f>HYPERLINK("https://twitter.com/italylover7","@italylover7")</f>
        <v>@italylover7</v>
      </c>
      <c r="C901" s="8" t="s">
        <v>3325</v>
      </c>
      <c r="D901" s="9" t="s">
        <v>3326</v>
      </c>
      <c r="E901" s="10" t="str">
        <f>HYPERLINK("https://twitter.com/italylover7/status/1065250782784774144","1065250782784774144")</f>
        <v>1065250782784774144</v>
      </c>
      <c r="F901" s="11" t="s">
        <v>3327</v>
      </c>
      <c r="G901" s="12"/>
      <c r="H901" s="12"/>
      <c r="I901" s="13">
        <v>0</v>
      </c>
      <c r="J901" s="13">
        <v>1</v>
      </c>
      <c r="K901" s="14" t="str">
        <f>HYPERLINK("http://twitter.com/download/android","Twitter for Android")</f>
        <v>Twitter for Android</v>
      </c>
      <c r="L901" s="13">
        <v>334</v>
      </c>
      <c r="M901" s="13">
        <v>723</v>
      </c>
      <c r="N901" s="13">
        <v>6</v>
      </c>
      <c r="O901" s="15"/>
      <c r="P901" s="6">
        <v>42272.372812500005</v>
      </c>
      <c r="Q901" s="17" t="s">
        <v>3328</v>
      </c>
      <c r="R901" s="16" t="s">
        <v>3329</v>
      </c>
      <c r="S901" s="12"/>
      <c r="T901" s="12"/>
      <c r="U901" s="10" t="str">
        <f>HYPERLINK("https://pbs.twimg.com/profile_images/1034817562159316997/QTHX15WM.jpg","View")</f>
        <v>View</v>
      </c>
    </row>
    <row r="902" spans="1:21" ht="30.6">
      <c r="A902" s="6">
        <v>43425.267418981486</v>
      </c>
      <c r="B902" s="7" t="str">
        <f>HYPERLINK("https://twitter.com/notung","@notung")</f>
        <v>@notung</v>
      </c>
      <c r="C902" s="8" t="s">
        <v>3330</v>
      </c>
      <c r="D902" s="9" t="s">
        <v>3331</v>
      </c>
      <c r="E902" s="10" t="str">
        <f>HYPERLINK("https://twitter.com/notung/status/1065249746405785602","1065249746405785602")</f>
        <v>1065249746405785602</v>
      </c>
      <c r="F902" s="11" t="s">
        <v>3332</v>
      </c>
      <c r="G902" s="12"/>
      <c r="H902" s="12"/>
      <c r="I902" s="13">
        <v>0</v>
      </c>
      <c r="J902" s="13">
        <v>0</v>
      </c>
      <c r="K902" s="14" t="str">
        <f>HYPERLINK("http://twitter.com","Twitter Web Client")</f>
        <v>Twitter Web Client</v>
      </c>
      <c r="L902" s="13">
        <v>78</v>
      </c>
      <c r="M902" s="13">
        <v>222</v>
      </c>
      <c r="N902" s="13">
        <v>2</v>
      </c>
      <c r="O902" s="15"/>
      <c r="P902" s="6">
        <v>39560.322824074072</v>
      </c>
      <c r="Q902" s="17" t="s">
        <v>29</v>
      </c>
      <c r="R902" s="16" t="s">
        <v>3333</v>
      </c>
      <c r="S902" s="12"/>
      <c r="T902" s="12"/>
      <c r="U902" s="10" t="str">
        <f>HYPERLINK("https://pbs.twimg.com/profile_images/911145670756769792/FNVBJPkg.jpg","View")</f>
        <v>View</v>
      </c>
    </row>
    <row r="903" spans="1:21" ht="30.6">
      <c r="A903" s="6">
        <v>43425.262094907404</v>
      </c>
      <c r="B903" s="7" t="str">
        <f>HYPERLINK("https://twitter.com/kodiario_","@kodiario_")</f>
        <v>@kodiario_</v>
      </c>
      <c r="C903" s="8" t="s">
        <v>3334</v>
      </c>
      <c r="D903" s="9" t="s">
        <v>3335</v>
      </c>
      <c r="E903" s="10" t="str">
        <f>HYPERLINK("https://twitter.com/kodiario_/status/1065247816124166145","1065247816124166145")</f>
        <v>1065247816124166145</v>
      </c>
      <c r="F903" s="11" t="s">
        <v>2764</v>
      </c>
      <c r="G903" s="12"/>
      <c r="H903" s="12"/>
      <c r="I903" s="13">
        <v>6</v>
      </c>
      <c r="J903" s="13">
        <v>4</v>
      </c>
      <c r="K903" s="14" t="str">
        <f t="shared" ref="K903:K904" si="168">HYPERLINK("http://twitter.com/download/android","Twitter for Android")</f>
        <v>Twitter for Android</v>
      </c>
      <c r="L903" s="13">
        <v>4595</v>
      </c>
      <c r="M903" s="13">
        <v>322</v>
      </c>
      <c r="N903" s="13">
        <v>55</v>
      </c>
      <c r="O903" s="15"/>
      <c r="P903" s="6">
        <v>42563.678425925929</v>
      </c>
      <c r="Q903" s="12"/>
      <c r="R903" s="16" t="s">
        <v>3336</v>
      </c>
      <c r="S903" s="12"/>
      <c r="T903" s="12"/>
      <c r="U903" s="10" t="str">
        <f>HYPERLINK("https://pbs.twimg.com/profile_images/977352060571148288/z2lxbv4P.jpg","View")</f>
        <v>View</v>
      </c>
    </row>
    <row r="904" spans="1:21" ht="20.399999999999999">
      <c r="A904" s="6">
        <v>43425.257696759261</v>
      </c>
      <c r="B904" s="7" t="str">
        <f>HYPERLINK("https://twitter.com/CalafJoan","@CalafJoan")</f>
        <v>@CalafJoan</v>
      </c>
      <c r="C904" s="8" t="s">
        <v>3337</v>
      </c>
      <c r="D904" s="9" t="s">
        <v>3338</v>
      </c>
      <c r="E904" s="10" t="str">
        <f>HYPERLINK("https://twitter.com/CalafJoan/status/1065246222984859648","1065246222984859648")</f>
        <v>1065246222984859648</v>
      </c>
      <c r="F904" s="11" t="s">
        <v>3339</v>
      </c>
      <c r="G904" s="17" t="s">
        <v>3340</v>
      </c>
      <c r="H904" s="12"/>
      <c r="I904" s="13">
        <v>0</v>
      </c>
      <c r="J904" s="13">
        <v>0</v>
      </c>
      <c r="K904" s="14" t="str">
        <f t="shared" si="168"/>
        <v>Twitter for Android</v>
      </c>
      <c r="L904" s="13">
        <v>0</v>
      </c>
      <c r="M904" s="13">
        <v>0</v>
      </c>
      <c r="N904" s="13">
        <v>0</v>
      </c>
      <c r="O904" s="15"/>
      <c r="P904" s="6">
        <v>43422.17324074074</v>
      </c>
      <c r="Q904" s="12"/>
      <c r="R904" s="16" t="s">
        <v>3341</v>
      </c>
      <c r="S904" s="12"/>
      <c r="T904" s="12"/>
      <c r="U904" s="10" t="str">
        <f>HYPERLINK("https://pbs.twimg.com/profile_images/1064131355821379584/QPf_iUqe.jpg","View")</f>
        <v>View</v>
      </c>
    </row>
    <row r="905" spans="1:21" ht="71.400000000000006">
      <c r="A905" s="6">
        <v>43425.251886574071</v>
      </c>
      <c r="B905" s="7" t="str">
        <f>HYPERLINK("https://twitter.com/blythe_club","@blythe_club")</f>
        <v>@blythe_club</v>
      </c>
      <c r="C905" s="8" t="s">
        <v>3342</v>
      </c>
      <c r="D905" s="9" t="s">
        <v>3343</v>
      </c>
      <c r="E905" s="10" t="str">
        <f>HYPERLINK("https://twitter.com/blythe_club/status/1065244116492128256","1065244116492128256")</f>
        <v>1065244116492128256</v>
      </c>
      <c r="F905" s="17" t="s">
        <v>3344</v>
      </c>
      <c r="G905" s="12"/>
      <c r="H905" s="12"/>
      <c r="I905" s="13">
        <v>2</v>
      </c>
      <c r="J905" s="13">
        <v>2</v>
      </c>
      <c r="K905" s="14" t="str">
        <f t="shared" ref="K905:K906" si="169">HYPERLINK("http://twitter.com","Twitter Web Client")</f>
        <v>Twitter Web Client</v>
      </c>
      <c r="L905" s="13">
        <v>9290</v>
      </c>
      <c r="M905" s="13">
        <v>9354</v>
      </c>
      <c r="N905" s="13">
        <v>107</v>
      </c>
      <c r="O905" s="15"/>
      <c r="P905" s="6">
        <v>40688.388182870374</v>
      </c>
      <c r="Q905" s="17" t="s">
        <v>3345</v>
      </c>
      <c r="R905" s="16" t="s">
        <v>3346</v>
      </c>
      <c r="S905" s="12"/>
      <c r="T905" s="12"/>
      <c r="U905" s="10" t="str">
        <f>HYPERLINK("https://pbs.twimg.com/profile_images/1368631894/blythe_4.JPG","View")</f>
        <v>View</v>
      </c>
    </row>
    <row r="906" spans="1:21" ht="30.6">
      <c r="A906" s="6">
        <v>43425.246921296297</v>
      </c>
      <c r="B906" s="7" t="str">
        <f>HYPERLINK("https://twitter.com/marianofake","@marianofake")</f>
        <v>@marianofake</v>
      </c>
      <c r="C906" s="8" t="s">
        <v>544</v>
      </c>
      <c r="D906" s="9" t="s">
        <v>3347</v>
      </c>
      <c r="E906" s="10" t="str">
        <f>HYPERLINK("https://twitter.com/marianofake/status/1065242318691844097","1065242318691844097")</f>
        <v>1065242318691844097</v>
      </c>
      <c r="F906" s="17" t="s">
        <v>720</v>
      </c>
      <c r="G906" s="12"/>
      <c r="H906" s="12"/>
      <c r="I906" s="13">
        <v>4</v>
      </c>
      <c r="J906" s="13">
        <v>6</v>
      </c>
      <c r="K906" s="14" t="str">
        <f t="shared" si="169"/>
        <v>Twitter Web Client</v>
      </c>
      <c r="L906" s="13">
        <v>6041</v>
      </c>
      <c r="M906" s="13">
        <v>3162</v>
      </c>
      <c r="N906" s="13">
        <v>19</v>
      </c>
      <c r="O906" s="15"/>
      <c r="P906" s="6">
        <v>42101.300752314812</v>
      </c>
      <c r="Q906" s="12"/>
      <c r="R906" s="16" t="s">
        <v>547</v>
      </c>
      <c r="S906" s="12"/>
      <c r="T906" s="12"/>
      <c r="U906" s="10" t="str">
        <f>HYPERLINK("https://pbs.twimg.com/profile_images/865123852795367424/p4pK2M21.jpg","View")</f>
        <v>View</v>
      </c>
    </row>
    <row r="907" spans="1:21" ht="40.799999999999997">
      <c r="A907" s="6">
        <v>43425.246481481481</v>
      </c>
      <c r="B907" s="7" t="str">
        <f>HYPERLINK("https://twitter.com/BilbokoP","@BilbokoP")</f>
        <v>@BilbokoP</v>
      </c>
      <c r="C907" s="8" t="s">
        <v>3348</v>
      </c>
      <c r="D907" s="9" t="s">
        <v>3349</v>
      </c>
      <c r="E907" s="10" t="str">
        <f>HYPERLINK("https://twitter.com/BilbokoP/status/1065242156921749504","1065242156921749504")</f>
        <v>1065242156921749504</v>
      </c>
      <c r="F907" s="12"/>
      <c r="G907" s="12"/>
      <c r="H907" s="12"/>
      <c r="I907" s="13">
        <v>0</v>
      </c>
      <c r="J907" s="13">
        <v>1</v>
      </c>
      <c r="K907" s="14" t="str">
        <f>HYPERLINK("https://mobile.twitter.com","Twitter Lite")</f>
        <v>Twitter Lite</v>
      </c>
      <c r="L907" s="13">
        <v>25</v>
      </c>
      <c r="M907" s="13">
        <v>93</v>
      </c>
      <c r="N907" s="13">
        <v>0</v>
      </c>
      <c r="O907" s="15"/>
      <c r="P907" s="6">
        <v>43400.196250000001</v>
      </c>
      <c r="Q907" s="12"/>
      <c r="R907" s="16" t="s">
        <v>3350</v>
      </c>
      <c r="S907" s="12"/>
      <c r="T907" s="12"/>
      <c r="U907" s="10" t="str">
        <f>HYPERLINK("https://pbs.twimg.com/profile_images/1056159645830729728/qK06y6-9.jpg","View")</f>
        <v>View</v>
      </c>
    </row>
    <row r="908" spans="1:21" ht="51">
      <c r="A908" s="6">
        <v>43425.246319444443</v>
      </c>
      <c r="B908" s="7" t="str">
        <f>HYPERLINK("https://twitter.com/CDFerrer","@CDFerrer")</f>
        <v>@CDFerrer</v>
      </c>
      <c r="C908" s="8" t="s">
        <v>1268</v>
      </c>
      <c r="D908" s="9" t="s">
        <v>3351</v>
      </c>
      <c r="E908" s="10" t="str">
        <f>HYPERLINK("https://twitter.com/CDFerrer/status/1065242100940357632","1065242100940357632")</f>
        <v>1065242100940357632</v>
      </c>
      <c r="F908" s="11" t="s">
        <v>3352</v>
      </c>
      <c r="G908" s="12"/>
      <c r="H908" s="12"/>
      <c r="I908" s="13">
        <v>0</v>
      </c>
      <c r="J908" s="13">
        <v>0</v>
      </c>
      <c r="K908" s="14" t="str">
        <f t="shared" ref="K908:K909" si="170">HYPERLINK("http://twitter.com","Twitter Web Client")</f>
        <v>Twitter Web Client</v>
      </c>
      <c r="L908" s="13">
        <v>498</v>
      </c>
      <c r="M908" s="13">
        <v>926</v>
      </c>
      <c r="N908" s="13">
        <v>2</v>
      </c>
      <c r="O908" s="15"/>
      <c r="P908" s="6">
        <v>40222.161782407406</v>
      </c>
      <c r="Q908" s="17" t="s">
        <v>1271</v>
      </c>
      <c r="R908" s="16" t="s">
        <v>1272</v>
      </c>
      <c r="S908" s="11" t="s">
        <v>1273</v>
      </c>
      <c r="T908" s="12"/>
      <c r="U908" s="10" t="str">
        <f>HYPERLINK("https://pbs.twimg.com/profile_images/1019244080721793024/bS54RZu5.jpg","View")</f>
        <v>View</v>
      </c>
    </row>
    <row r="909" spans="1:21" ht="30.6">
      <c r="A909" s="6">
        <v>43425.234560185185</v>
      </c>
      <c r="B909" s="7" t="str">
        <f>HYPERLINK("https://twitter.com/enriccm","@enriccm")</f>
        <v>@enriccm</v>
      </c>
      <c r="C909" s="8" t="s">
        <v>3353</v>
      </c>
      <c r="D909" s="9" t="s">
        <v>3354</v>
      </c>
      <c r="E909" s="10" t="str">
        <f>HYPERLINK("https://twitter.com/enriccm/status/1065237840475422728","1065237840475422728")</f>
        <v>1065237840475422728</v>
      </c>
      <c r="F909" s="11" t="s">
        <v>2219</v>
      </c>
      <c r="G909" s="12"/>
      <c r="H909" s="12"/>
      <c r="I909" s="13">
        <v>0</v>
      </c>
      <c r="J909" s="13">
        <v>0</v>
      </c>
      <c r="K909" s="14" t="str">
        <f t="shared" si="170"/>
        <v>Twitter Web Client</v>
      </c>
      <c r="L909" s="13">
        <v>1651</v>
      </c>
      <c r="M909" s="13">
        <v>966</v>
      </c>
      <c r="N909" s="13">
        <v>23</v>
      </c>
      <c r="O909" s="15"/>
      <c r="P909" s="6">
        <v>40943.288113425922</v>
      </c>
      <c r="Q909" s="17" t="s">
        <v>3355</v>
      </c>
      <c r="R909" s="16" t="s">
        <v>3356</v>
      </c>
      <c r="S909" s="12"/>
      <c r="T909" s="12"/>
      <c r="U909" s="10" t="str">
        <f>HYPERLINK("https://pbs.twimg.com/profile_images/666887120896831488/SR88-253.jpg","View")</f>
        <v>View</v>
      </c>
    </row>
    <row r="910" spans="1:21" ht="40.799999999999997">
      <c r="A910" s="6">
        <v>43425.232766203699</v>
      </c>
      <c r="B910" s="7" t="str">
        <f>HYPERLINK("https://twitter.com/Eldisidente6","@Eldisidente6")</f>
        <v>@Eldisidente6</v>
      </c>
      <c r="C910" s="8" t="s">
        <v>3357</v>
      </c>
      <c r="D910" s="9" t="s">
        <v>3358</v>
      </c>
      <c r="E910" s="10" t="str">
        <f>HYPERLINK("https://twitter.com/Eldisidente6/status/1065237186243690498","1065237186243690498")</f>
        <v>1065237186243690498</v>
      </c>
      <c r="F910" s="11" t="s">
        <v>3359</v>
      </c>
      <c r="G910" s="12"/>
      <c r="H910" s="12"/>
      <c r="I910" s="13">
        <v>1</v>
      </c>
      <c r="J910" s="13">
        <v>0</v>
      </c>
      <c r="K910" s="14" t="str">
        <f>HYPERLINK("http://twitter.com/#!/download/ipad","Twitter for iPad")</f>
        <v>Twitter for iPad</v>
      </c>
      <c r="L910" s="13">
        <v>16</v>
      </c>
      <c r="M910" s="13">
        <v>23</v>
      </c>
      <c r="N910" s="13">
        <v>0</v>
      </c>
      <c r="O910" s="15"/>
      <c r="P910" s="6">
        <v>43414.223032407404</v>
      </c>
      <c r="Q910" s="12"/>
      <c r="R910" s="16" t="s">
        <v>3360</v>
      </c>
      <c r="S910" s="12"/>
      <c r="T910" s="12"/>
      <c r="U910" s="10" t="str">
        <f>HYPERLINK("https://pbs.twimg.com/profile_images/1061248970343747585/8AM1gEJv.jpg","View")</f>
        <v>View</v>
      </c>
    </row>
    <row r="911" spans="1:21" ht="40.799999999999997">
      <c r="A911" s="6">
        <v>43425.227210648147</v>
      </c>
      <c r="B911" s="7" t="str">
        <f t="shared" ref="B911:B912" si="171">HYPERLINK("https://twitter.com/TITOBENET","@TITOBENET")</f>
        <v>@TITOBENET</v>
      </c>
      <c r="C911" s="8" t="s">
        <v>3361</v>
      </c>
      <c r="D911" s="9" t="s">
        <v>3178</v>
      </c>
      <c r="E911" s="10" t="str">
        <f>HYPERLINK("https://twitter.com/TITOBENET/status/1065235176324833280","1065235176324833280")</f>
        <v>1065235176324833280</v>
      </c>
      <c r="F911" s="11" t="s">
        <v>3362</v>
      </c>
      <c r="G911" s="12"/>
      <c r="H911" s="12"/>
      <c r="I911" s="13">
        <v>0</v>
      </c>
      <c r="J911" s="13">
        <v>0</v>
      </c>
      <c r="K911" s="14" t="str">
        <f t="shared" ref="K911:K912" si="172">HYPERLINK("http://twitter.com/download/android","Twitter for Android")</f>
        <v>Twitter for Android</v>
      </c>
      <c r="L911" s="13">
        <v>264</v>
      </c>
      <c r="M911" s="13">
        <v>1159</v>
      </c>
      <c r="N911" s="13">
        <v>10</v>
      </c>
      <c r="O911" s="15"/>
      <c r="P911" s="6">
        <v>40381.26399305556</v>
      </c>
      <c r="Q911" s="17" t="s">
        <v>3363</v>
      </c>
      <c r="R911" s="16" t="s">
        <v>3364</v>
      </c>
      <c r="S911" s="12"/>
      <c r="T911" s="12"/>
      <c r="U911" s="10" t="str">
        <f t="shared" ref="U911:U912" si="173">HYPERLINK("https://pbs.twimg.com/profile_images/869277256874635264/qtOHCfCm.jpg","View")</f>
        <v>View</v>
      </c>
    </row>
    <row r="912" spans="1:21" ht="40.799999999999997">
      <c r="A912" s="6">
        <v>43425.227071759262</v>
      </c>
      <c r="B912" s="7" t="str">
        <f t="shared" si="171"/>
        <v>@TITOBENET</v>
      </c>
      <c r="C912" s="8" t="s">
        <v>3361</v>
      </c>
      <c r="D912" s="9" t="s">
        <v>3178</v>
      </c>
      <c r="E912" s="10" t="str">
        <f>HYPERLINK("https://twitter.com/TITOBENET/status/1065235124088905728","1065235124088905728")</f>
        <v>1065235124088905728</v>
      </c>
      <c r="F912" s="11" t="s">
        <v>3365</v>
      </c>
      <c r="G912" s="12"/>
      <c r="H912" s="12"/>
      <c r="I912" s="13">
        <v>0</v>
      </c>
      <c r="J912" s="13">
        <v>0</v>
      </c>
      <c r="K912" s="14" t="str">
        <f t="shared" si="172"/>
        <v>Twitter for Android</v>
      </c>
      <c r="L912" s="13">
        <v>264</v>
      </c>
      <c r="M912" s="13">
        <v>1159</v>
      </c>
      <c r="N912" s="13">
        <v>10</v>
      </c>
      <c r="O912" s="15"/>
      <c r="P912" s="6">
        <v>40381.26399305556</v>
      </c>
      <c r="Q912" s="17" t="s">
        <v>3363</v>
      </c>
      <c r="R912" s="16" t="s">
        <v>3364</v>
      </c>
      <c r="S912" s="12"/>
      <c r="T912" s="12"/>
      <c r="U912" s="10" t="str">
        <f t="shared" si="173"/>
        <v>View</v>
      </c>
    </row>
    <row r="913" spans="1:21" ht="30.6">
      <c r="A913" s="6">
        <v>43425.226875</v>
      </c>
      <c r="B913" s="7" t="str">
        <f>HYPERLINK("https://twitter.com/javiertorres59","@javiertorres59")</f>
        <v>@javiertorres59</v>
      </c>
      <c r="C913" s="8" t="s">
        <v>3366</v>
      </c>
      <c r="D913" s="9" t="s">
        <v>3367</v>
      </c>
      <c r="E913" s="10" t="str">
        <f>HYPERLINK("https://twitter.com/javiertorres59/status/1065235055268769792","1065235055268769792")</f>
        <v>1065235055268769792</v>
      </c>
      <c r="F913" s="11" t="s">
        <v>3368</v>
      </c>
      <c r="G913" s="12"/>
      <c r="H913" s="12"/>
      <c r="I913" s="13">
        <v>0</v>
      </c>
      <c r="J913" s="13">
        <v>0</v>
      </c>
      <c r="K913" s="14" t="str">
        <f>HYPERLINK("http://twitter.com","Twitter Web Client")</f>
        <v>Twitter Web Client</v>
      </c>
      <c r="L913" s="13">
        <v>150</v>
      </c>
      <c r="M913" s="13">
        <v>221</v>
      </c>
      <c r="N913" s="13">
        <v>6</v>
      </c>
      <c r="O913" s="15"/>
      <c r="P913" s="6">
        <v>40444.644467592589</v>
      </c>
      <c r="Q913" s="17" t="s">
        <v>76</v>
      </c>
      <c r="R913" s="16" t="s">
        <v>3369</v>
      </c>
      <c r="S913" s="11" t="s">
        <v>3370</v>
      </c>
      <c r="T913" s="12"/>
      <c r="U913" s="10" t="str">
        <f>HYPERLINK("https://pbs.twimg.com/profile_images/911630033361473541/gMAnJ1_C.jpg","View")</f>
        <v>View</v>
      </c>
    </row>
    <row r="914" spans="1:21" ht="51">
      <c r="A914" s="6">
        <v>43425.225243055553</v>
      </c>
      <c r="B914" s="7" t="str">
        <f>HYPERLINK("https://twitter.com/Tomeeu98Riera","@Tomeeu98Riera")</f>
        <v>@Tomeeu98Riera</v>
      </c>
      <c r="C914" s="8" t="s">
        <v>3371</v>
      </c>
      <c r="D914" s="9" t="s">
        <v>3372</v>
      </c>
      <c r="E914" s="10" t="str">
        <f>HYPERLINK("https://twitter.com/Tomeeu98Riera/status/1065234463985229824","1065234463985229824")</f>
        <v>1065234463985229824</v>
      </c>
      <c r="F914" s="12"/>
      <c r="G914" s="12"/>
      <c r="H914" s="12"/>
      <c r="I914" s="13">
        <v>2</v>
      </c>
      <c r="J914" s="13">
        <v>5</v>
      </c>
      <c r="K914" s="14" t="str">
        <f>HYPERLINK("http://twitter.com/download/iphone","Twitter for iPhone")</f>
        <v>Twitter for iPhone</v>
      </c>
      <c r="L914" s="13">
        <v>546</v>
      </c>
      <c r="M914" s="13">
        <v>703</v>
      </c>
      <c r="N914" s="13">
        <v>1</v>
      </c>
      <c r="O914" s="15"/>
      <c r="P914" s="6">
        <v>41387.476875</v>
      </c>
      <c r="Q914" s="12"/>
      <c r="R914" s="16" t="s">
        <v>3373</v>
      </c>
      <c r="S914" s="11" t="s">
        <v>3374</v>
      </c>
      <c r="T914" s="12"/>
      <c r="U914" s="10" t="str">
        <f>HYPERLINK("https://pbs.twimg.com/profile_images/1053223228687241216/dmFlwQdL.jpg","View")</f>
        <v>View</v>
      </c>
    </row>
    <row r="915" spans="1:21" ht="40.799999999999997">
      <c r="A915" s="6">
        <v>43425.222280092596</v>
      </c>
      <c r="B915" s="7" t="str">
        <f>HYPERLINK("https://twitter.com/Sanfermin00","@Sanfermin00")</f>
        <v>@Sanfermin00</v>
      </c>
      <c r="C915" s="8" t="s">
        <v>3375</v>
      </c>
      <c r="D915" s="9" t="s">
        <v>3376</v>
      </c>
      <c r="E915" s="10" t="str">
        <f>HYPERLINK("https://twitter.com/Sanfermin00/status/1065233389438058497","1065233389438058497")</f>
        <v>1065233389438058497</v>
      </c>
      <c r="F915" s="11" t="s">
        <v>3377</v>
      </c>
      <c r="G915" s="12"/>
      <c r="H915" s="12"/>
      <c r="I915" s="13">
        <v>0</v>
      </c>
      <c r="J915" s="13">
        <v>0</v>
      </c>
      <c r="K915" s="14" t="str">
        <f t="shared" ref="K915:K916" si="174">HYPERLINK("http://twitter.com","Twitter Web Client")</f>
        <v>Twitter Web Client</v>
      </c>
      <c r="L915" s="13">
        <v>16392</v>
      </c>
      <c r="M915" s="13">
        <v>13582</v>
      </c>
      <c r="N915" s="13">
        <v>123</v>
      </c>
      <c r="O915" s="15"/>
      <c r="P915" s="6">
        <v>42362.262083333335</v>
      </c>
      <c r="Q915" s="17" t="s">
        <v>3378</v>
      </c>
      <c r="R915" s="16" t="s">
        <v>3379</v>
      </c>
      <c r="S915" s="11" t="s">
        <v>3380</v>
      </c>
      <c r="T915" s="12"/>
      <c r="U915" s="10" t="str">
        <f>HYPERLINK("https://pbs.twimg.com/profile_images/1064102923624480768/j11dV2-u.jpg","View")</f>
        <v>View</v>
      </c>
    </row>
    <row r="916" spans="1:21" ht="30.6">
      <c r="A916" s="6">
        <v>43425.221712962964</v>
      </c>
      <c r="B916" s="7" t="str">
        <f>HYPERLINK("https://twitter.com/jfmoriche","@jfmoriche")</f>
        <v>@jfmoriche</v>
      </c>
      <c r="C916" s="8" t="s">
        <v>3381</v>
      </c>
      <c r="D916" s="9" t="s">
        <v>3382</v>
      </c>
      <c r="E916" s="10" t="str">
        <f>HYPERLINK("https://twitter.com/jfmoriche/status/1065233181723508740","1065233181723508740")</f>
        <v>1065233181723508740</v>
      </c>
      <c r="F916" s="11" t="s">
        <v>3383</v>
      </c>
      <c r="G916" s="12"/>
      <c r="H916" s="12"/>
      <c r="I916" s="13">
        <v>1</v>
      </c>
      <c r="J916" s="13">
        <v>2</v>
      </c>
      <c r="K916" s="14" t="str">
        <f t="shared" si="174"/>
        <v>Twitter Web Client</v>
      </c>
      <c r="L916" s="13">
        <v>2881</v>
      </c>
      <c r="M916" s="13">
        <v>2138</v>
      </c>
      <c r="N916" s="13">
        <v>76</v>
      </c>
      <c r="O916" s="15"/>
      <c r="P916" s="6">
        <v>40996.671574074076</v>
      </c>
      <c r="Q916" s="17" t="s">
        <v>3384</v>
      </c>
      <c r="R916" s="16" t="s">
        <v>3385</v>
      </c>
      <c r="S916" s="11" t="s">
        <v>3386</v>
      </c>
      <c r="T916" s="12"/>
      <c r="U916" s="10" t="str">
        <f>HYPERLINK("https://pbs.twimg.com/profile_images/701579726075404288/HTPCRis4.jpg","View")</f>
        <v>View</v>
      </c>
    </row>
    <row r="917" spans="1:21" ht="40.799999999999997">
      <c r="A917" s="6">
        <v>43425.2183912037</v>
      </c>
      <c r="B917" s="7" t="str">
        <f>HYPERLINK("https://twitter.com/either_mark","@either_mark")</f>
        <v>@either_mark</v>
      </c>
      <c r="C917" s="8" t="s">
        <v>3387</v>
      </c>
      <c r="D917" s="9" t="s">
        <v>3388</v>
      </c>
      <c r="E917" s="10" t="str">
        <f>HYPERLINK("https://twitter.com/either_mark/status/1065231979216547840","1065231979216547840")</f>
        <v>1065231979216547840</v>
      </c>
      <c r="F917" s="11" t="s">
        <v>246</v>
      </c>
      <c r="G917" s="12"/>
      <c r="H917" s="12"/>
      <c r="I917" s="13">
        <v>19</v>
      </c>
      <c r="J917" s="13">
        <v>10</v>
      </c>
      <c r="K917" s="14" t="str">
        <f>HYPERLINK("http://twitter.com/download/android","Twitter for Android")</f>
        <v>Twitter for Android</v>
      </c>
      <c r="L917" s="13">
        <v>4370</v>
      </c>
      <c r="M917" s="13">
        <v>4999</v>
      </c>
      <c r="N917" s="13">
        <v>11</v>
      </c>
      <c r="O917" s="15"/>
      <c r="P917" s="6">
        <v>43229.084687499999</v>
      </c>
      <c r="Q917" s="17" t="s">
        <v>1867</v>
      </c>
      <c r="R917" s="16" t="s">
        <v>3389</v>
      </c>
      <c r="S917" s="12"/>
      <c r="T917" s="12"/>
      <c r="U917" s="10" t="str">
        <f>HYPERLINK("https://pbs.twimg.com/profile_images/1056687861943230464/pY-fJIuC.jpg","View")</f>
        <v>View</v>
      </c>
    </row>
    <row r="918" spans="1:21" ht="30.6">
      <c r="A918" s="6">
        <v>43425.212418981479</v>
      </c>
      <c r="B918" s="7" t="str">
        <f>HYPERLINK("https://twitter.com/VayaShowJavi","@VayaShowJavi")</f>
        <v>@VayaShowJavi</v>
      </c>
      <c r="C918" s="8" t="s">
        <v>3390</v>
      </c>
      <c r="D918" s="9" t="s">
        <v>3391</v>
      </c>
      <c r="E918" s="10" t="str">
        <f>HYPERLINK("https://twitter.com/VayaShowJavi/status/1065229816104857600","1065229816104857600")</f>
        <v>1065229816104857600</v>
      </c>
      <c r="F918" s="11" t="s">
        <v>3392</v>
      </c>
      <c r="G918" s="11" t="s">
        <v>3393</v>
      </c>
      <c r="H918" s="12"/>
      <c r="I918" s="13">
        <v>0</v>
      </c>
      <c r="J918" s="13">
        <v>0</v>
      </c>
      <c r="K918" s="14" t="str">
        <f>HYPERLINK("https://dlvrit.com/","dlvr.it")</f>
        <v>dlvr.it</v>
      </c>
      <c r="L918" s="13">
        <v>31</v>
      </c>
      <c r="M918" s="13">
        <v>101</v>
      </c>
      <c r="N918" s="13">
        <v>0</v>
      </c>
      <c r="O918" s="15"/>
      <c r="P918" s="6">
        <v>43186.750115740739</v>
      </c>
      <c r="Q918" s="17" t="s">
        <v>338</v>
      </c>
      <c r="R918" s="16" t="s">
        <v>3394</v>
      </c>
      <c r="S918" s="11" t="s">
        <v>3395</v>
      </c>
      <c r="T918" s="12"/>
      <c r="U918" s="10" t="str">
        <f>HYPERLINK("https://pbs.twimg.com/profile_images/990701981449834496/Da9P8WMz.jpg","View")</f>
        <v>View</v>
      </c>
    </row>
    <row r="919" spans="1:21" ht="13.2">
      <c r="A919" s="6">
        <v>43425.21230324074</v>
      </c>
      <c r="B919" s="7" t="str">
        <f>HYPERLINK("https://twitter.com/SusanaMorCas","@SusanaMorCas")</f>
        <v>@SusanaMorCas</v>
      </c>
      <c r="C919" s="8" t="s">
        <v>2058</v>
      </c>
      <c r="D919" s="9" t="s">
        <v>3396</v>
      </c>
      <c r="E919" s="10" t="str">
        <f>HYPERLINK("https://twitter.com/SusanaMorCas/status/1065229774149378048","1065229774149378048")</f>
        <v>1065229774149378048</v>
      </c>
      <c r="F919" s="11" t="s">
        <v>1941</v>
      </c>
      <c r="G919" s="12"/>
      <c r="H919" s="12"/>
      <c r="I919" s="13">
        <v>0</v>
      </c>
      <c r="J919" s="13">
        <v>0</v>
      </c>
      <c r="K919" s="14" t="str">
        <f>HYPERLINK("http://www.facebook.com/twitter","Facebook")</f>
        <v>Facebook</v>
      </c>
      <c r="L919" s="13">
        <v>277</v>
      </c>
      <c r="M919" s="13">
        <v>620</v>
      </c>
      <c r="N919" s="13">
        <v>29</v>
      </c>
      <c r="O919" s="15"/>
      <c r="P919" s="6">
        <v>41812.432349537034</v>
      </c>
      <c r="Q919" s="17" t="s">
        <v>2061</v>
      </c>
      <c r="R919" s="16" t="s">
        <v>2062</v>
      </c>
      <c r="S919" s="11" t="s">
        <v>2063</v>
      </c>
      <c r="T919" s="12"/>
      <c r="U919" s="10" t="str">
        <f>HYPERLINK("https://pbs.twimg.com/profile_images/998570357647785986/RP0-diNg.jpg","View")</f>
        <v>View</v>
      </c>
    </row>
    <row r="920" spans="1:21" ht="30.6">
      <c r="A920" s="6">
        <v>43425.212222222224</v>
      </c>
      <c r="B920" s="7" t="str">
        <f>HYPERLINK("https://twitter.com/nicetobezombie","@nicetobezombie")</f>
        <v>@nicetobezombie</v>
      </c>
      <c r="C920" s="8" t="s">
        <v>3397</v>
      </c>
      <c r="D920" s="9" t="s">
        <v>3398</v>
      </c>
      <c r="E920" s="10" t="str">
        <f>HYPERLINK("https://twitter.com/nicetobezombie/status/1065229743761567744","1065229743761567744")</f>
        <v>1065229743761567744</v>
      </c>
      <c r="F920" s="12"/>
      <c r="G920" s="11" t="s">
        <v>3399</v>
      </c>
      <c r="H920" s="12"/>
      <c r="I920" s="13">
        <v>0</v>
      </c>
      <c r="J920" s="13">
        <v>0</v>
      </c>
      <c r="K920" s="14" t="str">
        <f>HYPERLINK("http://twitter.com/download/android","Twitter for Android")</f>
        <v>Twitter for Android</v>
      </c>
      <c r="L920" s="13">
        <v>628</v>
      </c>
      <c r="M920" s="13">
        <v>736</v>
      </c>
      <c r="N920" s="13">
        <v>1</v>
      </c>
      <c r="O920" s="15"/>
      <c r="P920" s="6">
        <v>40581.350763888891</v>
      </c>
      <c r="Q920" s="12"/>
      <c r="R920" s="16" t="s">
        <v>3400</v>
      </c>
      <c r="S920" s="12"/>
      <c r="T920" s="12"/>
      <c r="U920" s="10" t="str">
        <f>HYPERLINK("https://pbs.twimg.com/profile_images/999989348182511616/aoW0VdDw.jpg","View")</f>
        <v>View</v>
      </c>
    </row>
    <row r="921" spans="1:21" ht="61.2">
      <c r="A921" s="6">
        <v>43425.21194444444</v>
      </c>
      <c r="B921" s="7" t="str">
        <f>HYPERLINK("https://twitter.com/javierpadillab","@javierpadillab")</f>
        <v>@javierpadillab</v>
      </c>
      <c r="C921" s="8" t="s">
        <v>3401</v>
      </c>
      <c r="D921" s="9" t="s">
        <v>3402</v>
      </c>
      <c r="E921" s="10" t="str">
        <f>HYPERLINK("https://twitter.com/javierpadillab/status/1065229642754342913","1065229642754342913")</f>
        <v>1065229642754342913</v>
      </c>
      <c r="F921" s="17" t="s">
        <v>2729</v>
      </c>
      <c r="G921" s="11" t="s">
        <v>2730</v>
      </c>
      <c r="H921" s="12"/>
      <c r="I921" s="13">
        <v>29</v>
      </c>
      <c r="J921" s="13">
        <v>57</v>
      </c>
      <c r="K921" s="14" t="str">
        <f>HYPERLINK("https://about.twitter.com/products/tweetdeck","TweetDeck")</f>
        <v>TweetDeck</v>
      </c>
      <c r="L921" s="13">
        <v>10775</v>
      </c>
      <c r="M921" s="13">
        <v>2374</v>
      </c>
      <c r="N921" s="13">
        <v>419</v>
      </c>
      <c r="O921" s="19" t="s">
        <v>74</v>
      </c>
      <c r="P921" s="6">
        <v>40472.123425925922</v>
      </c>
      <c r="Q921" s="17" t="s">
        <v>76</v>
      </c>
      <c r="R921" s="16" t="s">
        <v>3403</v>
      </c>
      <c r="S921" s="11" t="s">
        <v>3404</v>
      </c>
      <c r="T921" s="12"/>
      <c r="U921" s="10" t="str">
        <f>HYPERLINK("https://pbs.twimg.com/profile_images/879770256549572608/ftkv0iYM.jpg","View")</f>
        <v>View</v>
      </c>
    </row>
    <row r="922" spans="1:21" ht="71.400000000000006">
      <c r="A922" s="6">
        <v>43425.209745370375</v>
      </c>
      <c r="B922" s="7" t="str">
        <f>HYPERLINK("https://twitter.com/MartaIndignada","@MartaIndignada")</f>
        <v>@MartaIndignada</v>
      </c>
      <c r="C922" s="8" t="s">
        <v>3405</v>
      </c>
      <c r="D922" s="9" t="s">
        <v>3406</v>
      </c>
      <c r="E922" s="10" t="str">
        <f>HYPERLINK("https://twitter.com/MartaIndignada/status/1065228847161970689","1065228847161970689")</f>
        <v>1065228847161970689</v>
      </c>
      <c r="F922" s="17" t="s">
        <v>2768</v>
      </c>
      <c r="G922" s="12"/>
      <c r="H922" s="12"/>
      <c r="I922" s="13">
        <v>3</v>
      </c>
      <c r="J922" s="13">
        <v>2</v>
      </c>
      <c r="K922" s="14" t="str">
        <f>HYPERLINK("http://twitter.com/download/android","Twitter for Android")</f>
        <v>Twitter for Android</v>
      </c>
      <c r="L922" s="13">
        <v>2371</v>
      </c>
      <c r="M922" s="13">
        <v>4631</v>
      </c>
      <c r="N922" s="13">
        <v>43</v>
      </c>
      <c r="O922" s="15"/>
      <c r="P922" s="6">
        <v>40663.296481481484</v>
      </c>
      <c r="Q922" s="17" t="s">
        <v>3407</v>
      </c>
      <c r="R922" s="16" t="s">
        <v>3408</v>
      </c>
      <c r="S922" s="12"/>
      <c r="T922" s="12"/>
      <c r="U922" s="10" t="str">
        <f>HYPERLINK("https://pbs.twimg.com/profile_images/1065304628722581505/mVBLhFB_.jpg","View")</f>
        <v>View</v>
      </c>
    </row>
    <row r="923" spans="1:21" ht="51">
      <c r="A923" s="6">
        <v>43425.208622685182</v>
      </c>
      <c r="B923" s="7" t="str">
        <f>HYPERLINK("https://twitter.com/elpais_espana","@elpais_espana")</f>
        <v>@elpais_espana</v>
      </c>
      <c r="C923" s="8" t="s">
        <v>1973</v>
      </c>
      <c r="D923" s="9" t="s">
        <v>3409</v>
      </c>
      <c r="E923" s="10" t="str">
        <f>HYPERLINK("https://twitter.com/elpais_espana/status/1065228439664365568","1065228439664365568")</f>
        <v>1065228439664365568</v>
      </c>
      <c r="F923" s="11" t="s">
        <v>3410</v>
      </c>
      <c r="G923" s="12"/>
      <c r="H923" s="12"/>
      <c r="I923" s="13">
        <v>3</v>
      </c>
      <c r="J923" s="13">
        <v>7</v>
      </c>
      <c r="K923" s="14" t="str">
        <f>HYPERLINK("https://www.hootsuite.com","Hootsuite Inc.")</f>
        <v>Hootsuite Inc.</v>
      </c>
      <c r="L923" s="13">
        <v>402652</v>
      </c>
      <c r="M923" s="13">
        <v>799</v>
      </c>
      <c r="N923" s="13">
        <v>6325</v>
      </c>
      <c r="O923" s="19" t="s">
        <v>74</v>
      </c>
      <c r="P923" s="6">
        <v>40245.413946759261</v>
      </c>
      <c r="Q923" s="17" t="s">
        <v>76</v>
      </c>
      <c r="R923" s="16" t="s">
        <v>1976</v>
      </c>
      <c r="S923" s="11" t="s">
        <v>1977</v>
      </c>
      <c r="T923" s="12"/>
      <c r="U923" s="10" t="str">
        <f>HYPERLINK("https://pbs.twimg.com/profile_images/917337394914955264/aoU6Bl-8.jpg","View")</f>
        <v>View</v>
      </c>
    </row>
    <row r="924" spans="1:21" ht="61.2">
      <c r="A924" s="6">
        <v>43425.20621527778</v>
      </c>
      <c r="B924" s="7" t="str">
        <f>HYPERLINK("https://twitter.com/mule_moya","@mule_moya")</f>
        <v>@mule_moya</v>
      </c>
      <c r="C924" s="8" t="s">
        <v>3411</v>
      </c>
      <c r="D924" s="9" t="s">
        <v>3412</v>
      </c>
      <c r="E924" s="10" t="str">
        <f>HYPERLINK("https://twitter.com/mule_moya/status/1065227567832154113","1065227567832154113")</f>
        <v>1065227567832154113</v>
      </c>
      <c r="F924" s="17" t="s">
        <v>2729</v>
      </c>
      <c r="G924" s="11" t="s">
        <v>2730</v>
      </c>
      <c r="H924" s="12"/>
      <c r="I924" s="13">
        <v>0</v>
      </c>
      <c r="J924" s="13">
        <v>0</v>
      </c>
      <c r="K924" s="14" t="str">
        <f>HYPERLINK("http://twitter.com/download/android","Twitter for Android")</f>
        <v>Twitter for Android</v>
      </c>
      <c r="L924" s="13">
        <v>196</v>
      </c>
      <c r="M924" s="13">
        <v>433</v>
      </c>
      <c r="N924" s="13">
        <v>4</v>
      </c>
      <c r="O924" s="15"/>
      <c r="P924" s="6">
        <v>40960.004479166666</v>
      </c>
      <c r="Q924" s="12"/>
      <c r="R924" s="16" t="s">
        <v>3413</v>
      </c>
      <c r="S924" s="12"/>
      <c r="T924" s="12"/>
      <c r="U924" s="10" t="str">
        <f>HYPERLINK("https://pbs.twimg.com/profile_images/747900508866641920/EZO88-mv.jpg","View")</f>
        <v>View</v>
      </c>
    </row>
    <row r="925" spans="1:21" ht="91.8">
      <c r="A925" s="6">
        <v>43425.201608796298</v>
      </c>
      <c r="B925" s="7" t="str">
        <f>HYPERLINK("https://twitter.com/LuisGimenezSM","@LuisGimenezSM")</f>
        <v>@LuisGimenezSM</v>
      </c>
      <c r="C925" s="8" t="s">
        <v>3414</v>
      </c>
      <c r="D925" s="9" t="s">
        <v>3416</v>
      </c>
      <c r="E925" s="10" t="str">
        <f>HYPERLINK("https://twitter.com/LuisGimenezSM/status/1065225896586633216","1065225896586633216")</f>
        <v>1065225896586633216</v>
      </c>
      <c r="F925" s="17" t="s">
        <v>3417</v>
      </c>
      <c r="G925" s="12"/>
      <c r="H925" s="12"/>
      <c r="I925" s="13">
        <v>0</v>
      </c>
      <c r="J925" s="13">
        <v>0</v>
      </c>
      <c r="K925" s="14" t="str">
        <f>HYPERLINK("http://twitter.com","Twitter Web Client")</f>
        <v>Twitter Web Client</v>
      </c>
      <c r="L925" s="13">
        <v>3573</v>
      </c>
      <c r="M925" s="13">
        <v>3139</v>
      </c>
      <c r="N925" s="13">
        <v>97</v>
      </c>
      <c r="O925" s="15"/>
      <c r="P925" s="6">
        <v>40806.284421296295</v>
      </c>
      <c r="Q925" s="17" t="s">
        <v>3418</v>
      </c>
      <c r="R925" s="16" t="s">
        <v>3419</v>
      </c>
      <c r="S925" s="12"/>
      <c r="T925" s="12"/>
      <c r="U925" s="10" t="str">
        <f>HYPERLINK("https://pbs.twimg.com/profile_images/699885233508847616/q67v9STc.jpg","View")</f>
        <v>View</v>
      </c>
    </row>
    <row r="926" spans="1:21" ht="20.399999999999999">
      <c r="A926" s="6">
        <v>43425.20039351852</v>
      </c>
      <c r="B926" s="7" t="str">
        <f>HYPERLINK("https://twitter.com/elisadocio","@elisadocio")</f>
        <v>@elisadocio</v>
      </c>
      <c r="C926" s="8" t="s">
        <v>1253</v>
      </c>
      <c r="D926" s="9" t="s">
        <v>3421</v>
      </c>
      <c r="E926" s="10" t="str">
        <f>HYPERLINK("https://twitter.com/elisadocio/status/1065225458118246400","1065225458118246400")</f>
        <v>1065225458118246400</v>
      </c>
      <c r="F926" s="11" t="s">
        <v>3424</v>
      </c>
      <c r="G926" s="12"/>
      <c r="H926" s="12"/>
      <c r="I926" s="13">
        <v>0</v>
      </c>
      <c r="J926" s="13">
        <v>0</v>
      </c>
      <c r="K926" s="14" t="str">
        <f>HYPERLINK("http://www.facebook.com/twitter","Facebook")</f>
        <v>Facebook</v>
      </c>
      <c r="L926" s="13">
        <v>206</v>
      </c>
      <c r="M926" s="13">
        <v>359</v>
      </c>
      <c r="N926" s="13">
        <v>3</v>
      </c>
      <c r="O926" s="15"/>
      <c r="P926" s="6">
        <v>39808.611134259263</v>
      </c>
      <c r="Q926" s="17" t="s">
        <v>1254</v>
      </c>
      <c r="R926" s="18"/>
      <c r="S926" s="11" t="s">
        <v>1255</v>
      </c>
      <c r="T926" s="12"/>
      <c r="U926" s="10" t="str">
        <f>HYPERLINK("https://pbs.twimg.com/profile_images/106544839/pa310035_edited2.jpg","View")</f>
        <v>View</v>
      </c>
    </row>
    <row r="927" spans="1:21" ht="30.6">
      <c r="A927" s="6">
        <v>43425.200243055559</v>
      </c>
      <c r="B927" s="7" t="str">
        <f>HYPERLINK("https://twitter.com/ohmyscarlett_","@ohmyscarlett_")</f>
        <v>@ohmyscarlett_</v>
      </c>
      <c r="C927" s="8" t="s">
        <v>3425</v>
      </c>
      <c r="D927" s="9" t="s">
        <v>3426</v>
      </c>
      <c r="E927" s="10" t="str">
        <f>HYPERLINK("https://twitter.com/ohmyscarlett_/status/1065225402992476162","1065225402992476162")</f>
        <v>1065225402992476162</v>
      </c>
      <c r="F927" s="17" t="s">
        <v>720</v>
      </c>
      <c r="G927" s="12"/>
      <c r="H927" s="12"/>
      <c r="I927" s="13">
        <v>0</v>
      </c>
      <c r="J927" s="13">
        <v>0</v>
      </c>
      <c r="K927" s="14" t="str">
        <f>HYPERLINK("http://twitter.com/download/iphone","Twitter for iPhone")</f>
        <v>Twitter for iPhone</v>
      </c>
      <c r="L927" s="13">
        <v>371</v>
      </c>
      <c r="M927" s="13">
        <v>347</v>
      </c>
      <c r="N927" s="13">
        <v>14</v>
      </c>
      <c r="O927" s="15"/>
      <c r="P927" s="6">
        <v>41442.308900462966</v>
      </c>
      <c r="Q927" s="17" t="s">
        <v>3427</v>
      </c>
      <c r="R927" s="16" t="s">
        <v>3428</v>
      </c>
      <c r="S927" s="12"/>
      <c r="T927" s="12"/>
      <c r="U927" s="10" t="str">
        <f>HYPERLINK("https://pbs.twimg.com/profile_images/1049038664037273607/ITscaNz2.jpg","View")</f>
        <v>View</v>
      </c>
    </row>
    <row r="928" spans="1:21" ht="20.399999999999999">
      <c r="A928" s="6">
        <v>43425.200231481482</v>
      </c>
      <c r="B928" s="7" t="str">
        <f>HYPERLINK("https://twitter.com/canaldirtenefe","@canaldirtenefe")</f>
        <v>@canaldirtenefe</v>
      </c>
      <c r="C928" s="8" t="s">
        <v>3429</v>
      </c>
      <c r="D928" s="9" t="s">
        <v>3430</v>
      </c>
      <c r="E928" s="10" t="str">
        <f>HYPERLINK("https://twitter.com/canaldirtenefe/status/1065225397116248064","1065225397116248064")</f>
        <v>1065225397116248064</v>
      </c>
      <c r="F928" s="11" t="s">
        <v>3431</v>
      </c>
      <c r="G928" s="12"/>
      <c r="H928" s="12"/>
      <c r="I928" s="13">
        <v>0</v>
      </c>
      <c r="J928" s="13">
        <v>0</v>
      </c>
      <c r="K928" s="14" t="str">
        <f t="shared" ref="K928:K929" si="175">HYPERLINK("http://twitter.com/download/android","Twitter for Android")</f>
        <v>Twitter for Android</v>
      </c>
      <c r="L928" s="13">
        <v>58</v>
      </c>
      <c r="M928" s="13">
        <v>66</v>
      </c>
      <c r="N928" s="13">
        <v>9</v>
      </c>
      <c r="O928" s="15"/>
      <c r="P928" s="6">
        <v>41531.509826388887</v>
      </c>
      <c r="Q928" s="12"/>
      <c r="R928" s="18"/>
      <c r="S928" s="12"/>
      <c r="T928" s="12"/>
      <c r="U928" s="10" t="str">
        <f>HYPERLINK("https://pbs.twimg.com/profile_images/471754116515897344/tf0mJ_Ib.jpeg","View")</f>
        <v>View</v>
      </c>
    </row>
    <row r="929" spans="1:21" ht="51">
      <c r="A929" s="6">
        <v>43425.199791666666</v>
      </c>
      <c r="B929" s="7" t="str">
        <f>HYPERLINK("https://twitter.com/PepitaMenaMart1","@PepitaMenaMart1")</f>
        <v>@PepitaMenaMart1</v>
      </c>
      <c r="C929" s="8" t="s">
        <v>3432</v>
      </c>
      <c r="D929" s="9" t="s">
        <v>3433</v>
      </c>
      <c r="E929" s="10" t="str">
        <f>HYPERLINK("https://twitter.com/PepitaMenaMart1/status/1065225239976644608","1065225239976644608")</f>
        <v>1065225239976644608</v>
      </c>
      <c r="F929" s="17" t="s">
        <v>3434</v>
      </c>
      <c r="G929" s="12"/>
      <c r="H929" s="12"/>
      <c r="I929" s="13">
        <v>0</v>
      </c>
      <c r="J929" s="13">
        <v>1</v>
      </c>
      <c r="K929" s="14" t="str">
        <f t="shared" si="175"/>
        <v>Twitter for Android</v>
      </c>
      <c r="L929" s="13">
        <v>408</v>
      </c>
      <c r="M929" s="13">
        <v>334</v>
      </c>
      <c r="N929" s="13">
        <v>1</v>
      </c>
      <c r="O929" s="15"/>
      <c r="P929" s="6">
        <v>43124.513506944444</v>
      </c>
      <c r="Q929" s="17" t="s">
        <v>3435</v>
      </c>
      <c r="R929" s="16" t="s">
        <v>3436</v>
      </c>
      <c r="S929" s="12"/>
      <c r="T929" s="12"/>
      <c r="U929" s="10" t="str">
        <f>HYPERLINK("https://pbs.twimg.com/profile_images/1053410905311064064/xChXdA8v.jpg","View")</f>
        <v>View</v>
      </c>
    </row>
    <row r="930" spans="1:21" ht="30.6">
      <c r="A930" s="6">
        <v>43425.194212962961</v>
      </c>
      <c r="B930" s="7" t="str">
        <f>HYPERLINK("https://twitter.com/ElHuffPost","@ElHuffPost")</f>
        <v>@ElHuffPost</v>
      </c>
      <c r="C930" s="8" t="s">
        <v>467</v>
      </c>
      <c r="D930" s="9" t="s">
        <v>3437</v>
      </c>
      <c r="E930" s="10" t="str">
        <f>HYPERLINK("https://twitter.com/ElHuffPost/status/1065223218817060864","1065223218817060864")</f>
        <v>1065223218817060864</v>
      </c>
      <c r="F930" s="11" t="s">
        <v>3438</v>
      </c>
      <c r="G930" s="11" t="s">
        <v>3439</v>
      </c>
      <c r="H930" s="12"/>
      <c r="I930" s="13">
        <v>1</v>
      </c>
      <c r="J930" s="13">
        <v>0</v>
      </c>
      <c r="K930" s="14" t="str">
        <f t="shared" ref="K930:K931" si="176">HYPERLINK("http://twitter.com","Twitter Web Client")</f>
        <v>Twitter Web Client</v>
      </c>
      <c r="L930" s="13">
        <v>430323</v>
      </c>
      <c r="M930" s="13">
        <v>1532</v>
      </c>
      <c r="N930" s="13">
        <v>8186</v>
      </c>
      <c r="O930" s="19" t="s">
        <v>74</v>
      </c>
      <c r="P930" s="6">
        <v>40784.652118055557</v>
      </c>
      <c r="Q930" s="17" t="s">
        <v>203</v>
      </c>
      <c r="R930" s="16" t="s">
        <v>471</v>
      </c>
      <c r="S930" s="11" t="s">
        <v>472</v>
      </c>
      <c r="T930" s="12"/>
      <c r="U930" s="10" t="str">
        <f>HYPERLINK("https://pbs.twimg.com/profile_images/921140803422089217/ETOEUOAx.jpg","View")</f>
        <v>View</v>
      </c>
    </row>
    <row r="931" spans="1:21" ht="51">
      <c r="A931" s="6">
        <v>43425.192916666667</v>
      </c>
      <c r="B931" s="7" t="str">
        <f>HYPERLINK("https://twitter.com/RCorindon","@RCorindon")</f>
        <v>@RCorindon</v>
      </c>
      <c r="C931" s="8" t="s">
        <v>3440</v>
      </c>
      <c r="D931" s="9" t="s">
        <v>3441</v>
      </c>
      <c r="E931" s="10" t="str">
        <f>HYPERLINK("https://twitter.com/RCorindon/status/1065222746861461504","1065222746861461504")</f>
        <v>1065222746861461504</v>
      </c>
      <c r="F931" s="12"/>
      <c r="G931" s="12"/>
      <c r="H931" s="12"/>
      <c r="I931" s="13">
        <v>0</v>
      </c>
      <c r="J931" s="13">
        <v>1</v>
      </c>
      <c r="K931" s="14" t="str">
        <f t="shared" si="176"/>
        <v>Twitter Web Client</v>
      </c>
      <c r="L931" s="13">
        <v>107</v>
      </c>
      <c r="M931" s="13">
        <v>105</v>
      </c>
      <c r="N931" s="13">
        <v>0</v>
      </c>
      <c r="O931" s="15"/>
      <c r="P931" s="6">
        <v>42099.583622685182</v>
      </c>
      <c r="Q931" s="12"/>
      <c r="R931" s="18"/>
      <c r="S931" s="12"/>
      <c r="T931" s="12"/>
      <c r="U931" s="10" t="str">
        <f>HYPERLINK("https://pbs.twimg.com/profile_images/967395399161057280/NH5vulxk.jpg","View")</f>
        <v>View</v>
      </c>
    </row>
    <row r="932" spans="1:21" ht="20.399999999999999">
      <c r="A932" s="6">
        <v>43425.192905092597</v>
      </c>
      <c r="B932" s="7" t="str">
        <f>HYPERLINK("https://twitter.com/CiberCuba","@CiberCuba")</f>
        <v>@CiberCuba</v>
      </c>
      <c r="C932" s="8" t="s">
        <v>3442</v>
      </c>
      <c r="D932" s="9" t="s">
        <v>3443</v>
      </c>
      <c r="E932" s="10" t="str">
        <f>HYPERLINK("https://twitter.com/CiberCuba/status/1065222744843796482","1065222744843796482")</f>
        <v>1065222744843796482</v>
      </c>
      <c r="F932" s="11" t="s">
        <v>3444</v>
      </c>
      <c r="G932" s="12"/>
      <c r="H932" s="12"/>
      <c r="I932" s="13">
        <v>2</v>
      </c>
      <c r="J932" s="13">
        <v>1</v>
      </c>
      <c r="K932" s="14" t="str">
        <f>HYPERLINK("https://dlvrit.com/","dlvr.it")</f>
        <v>dlvr.it</v>
      </c>
      <c r="L932" s="13">
        <v>7289</v>
      </c>
      <c r="M932" s="13">
        <v>76</v>
      </c>
      <c r="N932" s="13">
        <v>80</v>
      </c>
      <c r="O932" s="15"/>
      <c r="P932" s="6">
        <v>41705.248449074075</v>
      </c>
      <c r="Q932" s="17" t="s">
        <v>3445</v>
      </c>
      <c r="R932" s="16" t="s">
        <v>3446</v>
      </c>
      <c r="S932" s="11" t="s">
        <v>3447</v>
      </c>
      <c r="T932" s="12"/>
      <c r="U932" s="10" t="str">
        <f>HYPERLINK("https://pbs.twimg.com/profile_images/626518796006723584/uNl-pQOp.png","View")</f>
        <v>View</v>
      </c>
    </row>
    <row r="933" spans="1:21" ht="20.399999999999999">
      <c r="A933" s="6">
        <v>43425.191377314812</v>
      </c>
      <c r="B933" s="7" t="str">
        <f>HYPERLINK("https://twitter.com/petiuet","@petiuet")</f>
        <v>@petiuet</v>
      </c>
      <c r="C933" s="8" t="s">
        <v>3448</v>
      </c>
      <c r="D933" s="9" t="s">
        <v>3449</v>
      </c>
      <c r="E933" s="10" t="str">
        <f>HYPERLINK("https://twitter.com/petiuet/status/1065222188821827584","1065222188821827584")</f>
        <v>1065222188821827584</v>
      </c>
      <c r="F933" s="11" t="s">
        <v>2219</v>
      </c>
      <c r="G933" s="12"/>
      <c r="H933" s="12"/>
      <c r="I933" s="13">
        <v>1</v>
      </c>
      <c r="J933" s="13">
        <v>0</v>
      </c>
      <c r="K933" s="14" t="str">
        <f t="shared" ref="K933:K935" si="177">HYPERLINK("http://twitter.com/download/android","Twitter for Android")</f>
        <v>Twitter for Android</v>
      </c>
      <c r="L933" s="13">
        <v>1029</v>
      </c>
      <c r="M933" s="13">
        <v>1015</v>
      </c>
      <c r="N933" s="13">
        <v>1</v>
      </c>
      <c r="O933" s="15"/>
      <c r="P933" s="6">
        <v>43032.520370370374</v>
      </c>
      <c r="Q933" s="17" t="s">
        <v>1579</v>
      </c>
      <c r="R933" s="16" t="s">
        <v>3450</v>
      </c>
      <c r="S933" s="12"/>
      <c r="T933" s="12"/>
      <c r="U933" s="10" t="str">
        <f>HYPERLINK("https://pbs.twimg.com/profile_images/978299354053271557/N6Pl5Nvn.jpg","View")</f>
        <v>View</v>
      </c>
    </row>
    <row r="934" spans="1:21" ht="102">
      <c r="A934" s="6">
        <v>43425.191030092596</v>
      </c>
      <c r="B934" s="7" t="str">
        <f>HYPERLINK("https://twitter.com/joiggajo","@joiggajo")</f>
        <v>@joiggajo</v>
      </c>
      <c r="C934" s="8" t="s">
        <v>3451</v>
      </c>
      <c r="D934" s="9" t="s">
        <v>3452</v>
      </c>
      <c r="E934" s="10" t="str">
        <f>HYPERLINK("https://twitter.com/joiggajo/status/1065222061843464192","1065222061843464192")</f>
        <v>1065222061843464192</v>
      </c>
      <c r="F934" s="17" t="s">
        <v>2768</v>
      </c>
      <c r="G934" s="12"/>
      <c r="H934" s="12"/>
      <c r="I934" s="13">
        <v>0</v>
      </c>
      <c r="J934" s="13">
        <v>1</v>
      </c>
      <c r="K934" s="14" t="str">
        <f t="shared" si="177"/>
        <v>Twitter for Android</v>
      </c>
      <c r="L934" s="13">
        <v>214</v>
      </c>
      <c r="M934" s="13">
        <v>384</v>
      </c>
      <c r="N934" s="13">
        <v>17</v>
      </c>
      <c r="O934" s="15"/>
      <c r="P934" s="6">
        <v>40623.560462962967</v>
      </c>
      <c r="Q934" s="17" t="s">
        <v>3453</v>
      </c>
      <c r="R934" s="16" t="s">
        <v>3454</v>
      </c>
      <c r="S934" s="12"/>
      <c r="T934" s="12"/>
      <c r="U934" s="10" t="str">
        <f>HYPERLINK("https://pbs.twimg.com/profile_images/1047484707494121472/_1AZfBq7.jpg","View")</f>
        <v>View</v>
      </c>
    </row>
    <row r="935" spans="1:21" ht="30.6">
      <c r="A935" s="6">
        <v>43425.187893518523</v>
      </c>
      <c r="B935" s="7" t="str">
        <f>HYPERLINK("https://twitter.com/TheRealBonJavi","@TheRealBonJavi")</f>
        <v>@TheRealBonJavi</v>
      </c>
      <c r="C935" s="8" t="s">
        <v>2685</v>
      </c>
      <c r="D935" s="9" t="s">
        <v>3455</v>
      </c>
      <c r="E935" s="10" t="str">
        <f>HYPERLINK("https://twitter.com/TheRealBonJavi/status/1065220924897669120","1065220924897669120")</f>
        <v>1065220924897669120</v>
      </c>
      <c r="F935" s="12"/>
      <c r="G935" s="12"/>
      <c r="H935" s="12"/>
      <c r="I935" s="13">
        <v>0</v>
      </c>
      <c r="J935" s="13">
        <v>0</v>
      </c>
      <c r="K935" s="14" t="str">
        <f t="shared" si="177"/>
        <v>Twitter for Android</v>
      </c>
      <c r="L935" s="13">
        <v>368</v>
      </c>
      <c r="M935" s="13">
        <v>1121</v>
      </c>
      <c r="N935" s="13">
        <v>6</v>
      </c>
      <c r="O935" s="15"/>
      <c r="P935" s="6">
        <v>40963.210092592592</v>
      </c>
      <c r="Q935" s="17" t="s">
        <v>2687</v>
      </c>
      <c r="R935" s="16" t="s">
        <v>2688</v>
      </c>
      <c r="S935" s="11" t="s">
        <v>2689</v>
      </c>
      <c r="T935" s="12"/>
      <c r="U935" s="10" t="str">
        <f>HYPERLINK("https://pbs.twimg.com/profile_images/869221034926493696/JZqlx6ZX.jpg","View")</f>
        <v>View</v>
      </c>
    </row>
    <row r="936" spans="1:21" ht="40.799999999999997">
      <c r="A936" s="6">
        <v>43425.1875</v>
      </c>
      <c r="B936" s="7" t="str">
        <f>HYPERLINK("https://twitter.com/PirataYSuBanda","@PirataYSuBanda")</f>
        <v>@PirataYSuBanda</v>
      </c>
      <c r="C936" s="8" t="s">
        <v>3456</v>
      </c>
      <c r="D936" s="9" t="s">
        <v>3457</v>
      </c>
      <c r="E936" s="10" t="str">
        <f>HYPERLINK("https://twitter.com/PirataYSuBanda/status/1065220786108145665","1065220786108145665")</f>
        <v>1065220786108145665</v>
      </c>
      <c r="F936" s="11" t="s">
        <v>3458</v>
      </c>
      <c r="G936" s="11" t="s">
        <v>3459</v>
      </c>
      <c r="H936" s="12"/>
      <c r="I936" s="13">
        <v>2</v>
      </c>
      <c r="J936" s="13">
        <v>8</v>
      </c>
      <c r="K936" s="14" t="str">
        <f>HYPERLINK("http://dogtrack.es","DogTrack_Oficial")</f>
        <v>DogTrack_Oficial</v>
      </c>
      <c r="L936" s="13">
        <v>8865</v>
      </c>
      <c r="M936" s="13">
        <v>134</v>
      </c>
      <c r="N936" s="13">
        <v>55</v>
      </c>
      <c r="O936" s="19" t="s">
        <v>74</v>
      </c>
      <c r="P936" s="6">
        <v>42537.286516203705</v>
      </c>
      <c r="Q936" s="17" t="s">
        <v>29</v>
      </c>
      <c r="R936" s="16" t="s">
        <v>3460</v>
      </c>
      <c r="S936" s="11" t="s">
        <v>3461</v>
      </c>
      <c r="T936" s="12"/>
      <c r="U936" s="10" t="str">
        <f>HYPERLINK("https://pbs.twimg.com/profile_images/1053954386639155200/-Cf7-Nen.jpg","View")</f>
        <v>View</v>
      </c>
    </row>
    <row r="937" spans="1:21" ht="30.6">
      <c r="A937" s="6">
        <v>43425.185624999998</v>
      </c>
      <c r="B937" s="7" t="str">
        <f>HYPERLINK("https://twitter.com/ChezNieto","@ChezNieto")</f>
        <v>@ChezNieto</v>
      </c>
      <c r="C937" s="8" t="s">
        <v>1787</v>
      </c>
      <c r="D937" s="9" t="s">
        <v>3462</v>
      </c>
      <c r="E937" s="10" t="str">
        <f>HYPERLINK("https://twitter.com/ChezNieto/status/1065220105443962881","1065220105443962881")</f>
        <v>1065220105443962881</v>
      </c>
      <c r="F937" s="12"/>
      <c r="G937" s="12"/>
      <c r="H937" s="12"/>
      <c r="I937" s="13">
        <v>0</v>
      </c>
      <c r="J937" s="13">
        <v>0</v>
      </c>
      <c r="K937" s="14" t="str">
        <f>HYPERLINK("http://twitter.com","Twitter Web Client")</f>
        <v>Twitter Web Client</v>
      </c>
      <c r="L937" s="13">
        <v>5050</v>
      </c>
      <c r="M937" s="13">
        <v>4756</v>
      </c>
      <c r="N937" s="13">
        <v>50</v>
      </c>
      <c r="O937" s="15"/>
      <c r="P937" s="6">
        <v>41341.225729166668</v>
      </c>
      <c r="Q937" s="17" t="s">
        <v>29</v>
      </c>
      <c r="R937" s="16" t="s">
        <v>3463</v>
      </c>
      <c r="S937" s="12"/>
      <c r="T937" s="12"/>
      <c r="U937" s="10" t="str">
        <f>HYPERLINK("https://pbs.twimg.com/profile_images/3750051142/df497636f6b21e0abf733a0e65a50087.jpeg","View")</f>
        <v>View</v>
      </c>
    </row>
    <row r="938" spans="1:21" ht="40.799999999999997">
      <c r="A938" s="6">
        <v>43425.180601851855</v>
      </c>
      <c r="B938" s="7" t="str">
        <f>HYPERLINK("https://twitter.com/Cambio16","@Cambio16")</f>
        <v>@Cambio16</v>
      </c>
      <c r="C938" s="8" t="s">
        <v>953</v>
      </c>
      <c r="D938" s="9" t="s">
        <v>3464</v>
      </c>
      <c r="E938" s="10" t="str">
        <f>HYPERLINK("https://twitter.com/Cambio16/status/1065218285745184768","1065218285745184768")</f>
        <v>1065218285745184768</v>
      </c>
      <c r="F938" s="11" t="s">
        <v>2135</v>
      </c>
      <c r="G938" s="11" t="s">
        <v>3465</v>
      </c>
      <c r="H938" s="12"/>
      <c r="I938" s="13">
        <v>0</v>
      </c>
      <c r="J938" s="13">
        <v>0</v>
      </c>
      <c r="K938" s="14" t="str">
        <f>HYPERLINK("https://www.hootsuite.com","Hootsuite Inc.")</f>
        <v>Hootsuite Inc.</v>
      </c>
      <c r="L938" s="13">
        <v>17345</v>
      </c>
      <c r="M938" s="13">
        <v>765</v>
      </c>
      <c r="N938" s="13">
        <v>499</v>
      </c>
      <c r="O938" s="15"/>
      <c r="P938" s="6">
        <v>40341.117245370369</v>
      </c>
      <c r="Q938" s="17" t="s">
        <v>143</v>
      </c>
      <c r="R938" s="16" t="s">
        <v>958</v>
      </c>
      <c r="S938" s="11" t="s">
        <v>959</v>
      </c>
      <c r="T938" s="12"/>
      <c r="U938" s="10" t="str">
        <f>HYPERLINK("https://pbs.twimg.com/profile_images/1060221846208069632/vJfJ3_T5.jpg","View")</f>
        <v>View</v>
      </c>
    </row>
    <row r="939" spans="1:21" ht="40.799999999999997">
      <c r="A939" s="6">
        <v>43425.173078703709</v>
      </c>
      <c r="B939" s="7" t="str">
        <f>HYPERLINK("https://twitter.com/MskRobert","@MskRobert")</f>
        <v>@MskRobert</v>
      </c>
      <c r="C939" s="8" t="s">
        <v>3466</v>
      </c>
      <c r="D939" s="9" t="s">
        <v>3467</v>
      </c>
      <c r="E939" s="10" t="str">
        <f>HYPERLINK("https://twitter.com/MskRobert/status/1065215557421711362","1065215557421711362")</f>
        <v>1065215557421711362</v>
      </c>
      <c r="F939" s="12"/>
      <c r="G939" s="12"/>
      <c r="H939" s="12"/>
      <c r="I939" s="13">
        <v>0</v>
      </c>
      <c r="J939" s="13">
        <v>4</v>
      </c>
      <c r="K939" s="14" t="str">
        <f t="shared" ref="K939:K940" si="178">HYPERLINK("http://twitter.com","Twitter Web Client")</f>
        <v>Twitter Web Client</v>
      </c>
      <c r="L939" s="13">
        <v>391</v>
      </c>
      <c r="M939" s="13">
        <v>285</v>
      </c>
      <c r="N939" s="13">
        <v>2</v>
      </c>
      <c r="O939" s="15"/>
      <c r="P939" s="6">
        <v>41584.20140046296</v>
      </c>
      <c r="Q939" s="12"/>
      <c r="R939" s="16" t="s">
        <v>3468</v>
      </c>
      <c r="S939" s="11" t="s">
        <v>3469</v>
      </c>
      <c r="T939" s="12"/>
      <c r="U939" s="10" t="str">
        <f>HYPERLINK("https://pbs.twimg.com/profile_images/1050845830956105733/SBwVV-BP.jpg","View")</f>
        <v>View</v>
      </c>
    </row>
    <row r="940" spans="1:21" ht="20.399999999999999">
      <c r="A940" s="6">
        <v>43425.172546296293</v>
      </c>
      <c r="B940" s="7" t="str">
        <f>HYPERLINK("https://twitter.com/Ultimohumano","@Ultimohumano")</f>
        <v>@Ultimohumano</v>
      </c>
      <c r="C940" s="8" t="s">
        <v>3470</v>
      </c>
      <c r="D940" s="9" t="s">
        <v>3471</v>
      </c>
      <c r="E940" s="10" t="str">
        <f>HYPERLINK("https://twitter.com/Ultimohumano/status/1065215364559187968","1065215364559187968")</f>
        <v>1065215364559187968</v>
      </c>
      <c r="F940" s="12"/>
      <c r="G940" s="12"/>
      <c r="H940" s="12"/>
      <c r="I940" s="13">
        <v>0</v>
      </c>
      <c r="J940" s="13">
        <v>0</v>
      </c>
      <c r="K940" s="14" t="str">
        <f t="shared" si="178"/>
        <v>Twitter Web Client</v>
      </c>
      <c r="L940" s="13">
        <v>840</v>
      </c>
      <c r="M940" s="13">
        <v>630</v>
      </c>
      <c r="N940" s="13">
        <v>14</v>
      </c>
      <c r="O940" s="15"/>
      <c r="P940" s="6">
        <v>40195.337314814817</v>
      </c>
      <c r="Q940" s="17" t="s">
        <v>2009</v>
      </c>
      <c r="R940" s="16" t="s">
        <v>3472</v>
      </c>
      <c r="S940" s="12"/>
      <c r="T940" s="12"/>
      <c r="U940" s="10" t="str">
        <f>HYPERLINK("https://pbs.twimg.com/profile_images/1028301882454880257/M8l9Eo_Z.jpg","View")</f>
        <v>View</v>
      </c>
    </row>
    <row r="941" spans="1:21" ht="40.799999999999997">
      <c r="A941" s="6">
        <v>43425.165682870371</v>
      </c>
      <c r="B941" s="7" t="str">
        <f>HYPERLINK("https://twitter.com/AzucenaMiss","@AzucenaMiss")</f>
        <v>@AzucenaMiss</v>
      </c>
      <c r="C941" s="8" t="s">
        <v>3473</v>
      </c>
      <c r="D941" s="9" t="s">
        <v>3474</v>
      </c>
      <c r="E941" s="10" t="str">
        <f>HYPERLINK("https://twitter.com/AzucenaMiss/status/1065212877781504001","1065212877781504001")</f>
        <v>1065212877781504001</v>
      </c>
      <c r="F941" s="11" t="s">
        <v>3475</v>
      </c>
      <c r="G941" s="12"/>
      <c r="H941" s="12"/>
      <c r="I941" s="13">
        <v>0</v>
      </c>
      <c r="J941" s="13">
        <v>0</v>
      </c>
      <c r="K941" s="14" t="str">
        <f>HYPERLINK("http://twitter.com/download/android","Twitter for Android")</f>
        <v>Twitter for Android</v>
      </c>
      <c r="L941" s="13">
        <v>457</v>
      </c>
      <c r="M941" s="13">
        <v>789</v>
      </c>
      <c r="N941" s="13">
        <v>0</v>
      </c>
      <c r="O941" s="15"/>
      <c r="P941" s="6">
        <v>43176.234340277777</v>
      </c>
      <c r="Q941" s="12"/>
      <c r="R941" s="18"/>
      <c r="S941" s="12"/>
      <c r="T941" s="12"/>
      <c r="U941" s="19" t="s">
        <v>368</v>
      </c>
    </row>
    <row r="942" spans="1:21" ht="20.399999999999999">
      <c r="A942" s="6">
        <v>43425.160428240742</v>
      </c>
      <c r="B942" s="7" t="str">
        <f>HYPERLINK("https://twitter.com/jcarloslh","@jcarloslh")</f>
        <v>@jcarloslh</v>
      </c>
      <c r="C942" s="8" t="s">
        <v>2370</v>
      </c>
      <c r="D942" s="9" t="s">
        <v>3476</v>
      </c>
      <c r="E942" s="10" t="str">
        <f>HYPERLINK("https://twitter.com/jcarloslh/status/1065210974343491584","1065210974343491584")</f>
        <v>1065210974343491584</v>
      </c>
      <c r="F942" s="11" t="s">
        <v>3477</v>
      </c>
      <c r="G942" s="12"/>
      <c r="H942" s="12"/>
      <c r="I942" s="13">
        <v>0</v>
      </c>
      <c r="J942" s="13">
        <v>0</v>
      </c>
      <c r="K942" s="14" t="str">
        <f>HYPERLINK("http://www.facebook.com/twitter","Facebook")</f>
        <v>Facebook</v>
      </c>
      <c r="L942" s="13">
        <v>186</v>
      </c>
      <c r="M942" s="13">
        <v>190</v>
      </c>
      <c r="N942" s="13">
        <v>9</v>
      </c>
      <c r="O942" s="15"/>
      <c r="P942" s="6">
        <v>40433.54041666667</v>
      </c>
      <c r="Q942" s="17" t="s">
        <v>29</v>
      </c>
      <c r="R942" s="18"/>
      <c r="S942" s="12"/>
      <c r="T942" s="12"/>
      <c r="U942" s="10" t="str">
        <f>HYPERLINK("https://pbs.twimg.com/profile_images/3399813895/ffa75fdcb08baf5251d475f9fca4c818.jpeg","View")</f>
        <v>View</v>
      </c>
    </row>
    <row r="943" spans="1:21" ht="40.799999999999997">
      <c r="A943" s="6">
        <v>43425.15016203704</v>
      </c>
      <c r="B943" s="7" t="str">
        <f>HYPERLINK("https://twitter.com/llerices","@llerices")</f>
        <v>@llerices</v>
      </c>
      <c r="C943" s="8" t="s">
        <v>3478</v>
      </c>
      <c r="D943" s="9" t="s">
        <v>3178</v>
      </c>
      <c r="E943" s="10" t="str">
        <f>HYPERLINK("https://twitter.com/llerices/status/1065207251676393472","1065207251676393472")</f>
        <v>1065207251676393472</v>
      </c>
      <c r="F943" s="11" t="s">
        <v>3479</v>
      </c>
      <c r="G943" s="12"/>
      <c r="H943" s="12"/>
      <c r="I943" s="13">
        <v>0</v>
      </c>
      <c r="J943" s="13">
        <v>0</v>
      </c>
      <c r="K943" s="14" t="str">
        <f>HYPERLINK("http://twitter.com","Twitter Web Client")</f>
        <v>Twitter Web Client</v>
      </c>
      <c r="L943" s="13">
        <v>647</v>
      </c>
      <c r="M943" s="13">
        <v>682</v>
      </c>
      <c r="N943" s="13">
        <v>12</v>
      </c>
      <c r="O943" s="15"/>
      <c r="P943" s="6">
        <v>40444.576342592591</v>
      </c>
      <c r="Q943" s="17" t="s">
        <v>3480</v>
      </c>
      <c r="R943" s="16" t="s">
        <v>3481</v>
      </c>
      <c r="S943" s="12"/>
      <c r="T943" s="12"/>
      <c r="U943" s="10" t="str">
        <f>HYPERLINK("https://pbs.twimg.com/profile_images/670899507400482816/kPZQ71Og.jpg","View")</f>
        <v>View</v>
      </c>
    </row>
    <row r="944" spans="1:21" ht="20.399999999999999">
      <c r="A944" s="6">
        <v>43425.149965277778</v>
      </c>
      <c r="B944" s="7" t="str">
        <f>HYPERLINK("https://twitter.com/carollm333","@carollm333")</f>
        <v>@carollm333</v>
      </c>
      <c r="C944" s="8" t="s">
        <v>3482</v>
      </c>
      <c r="D944" s="9" t="s">
        <v>3483</v>
      </c>
      <c r="E944" s="10" t="str">
        <f>HYPERLINK("https://twitter.com/carollm333/status/1065207182596153346","1065207182596153346")</f>
        <v>1065207182596153346</v>
      </c>
      <c r="F944" s="11" t="s">
        <v>3484</v>
      </c>
      <c r="G944" s="12"/>
      <c r="H944" s="12"/>
      <c r="I944" s="13">
        <v>0</v>
      </c>
      <c r="J944" s="13">
        <v>0</v>
      </c>
      <c r="K944" s="14" t="str">
        <f>HYPERLINK("http://twitter.com/download/android","Twitter for Android")</f>
        <v>Twitter for Android</v>
      </c>
      <c r="L944" s="13">
        <v>1214</v>
      </c>
      <c r="M944" s="13">
        <v>1038</v>
      </c>
      <c r="N944" s="13">
        <v>79</v>
      </c>
      <c r="O944" s="15"/>
      <c r="P944" s="6">
        <v>40577.436874999999</v>
      </c>
      <c r="Q944" s="12"/>
      <c r="R944" s="18"/>
      <c r="S944" s="12"/>
      <c r="T944" s="12"/>
      <c r="U944" s="10" t="str">
        <f>HYPERLINK("https://pbs.twimg.com/profile_images/1002860850015817729/9pVXZX1m.jpg","View")</f>
        <v>View</v>
      </c>
    </row>
    <row r="945" spans="1:21" ht="40.799999999999997">
      <c r="A945" s="6">
        <v>43425.149131944447</v>
      </c>
      <c r="B945" s="7" t="str">
        <f>HYPERLINK("https://twitter.com/llerices","@llerices")</f>
        <v>@llerices</v>
      </c>
      <c r="C945" s="8" t="s">
        <v>3478</v>
      </c>
      <c r="D945" s="9" t="s">
        <v>3178</v>
      </c>
      <c r="E945" s="10" t="str">
        <f>HYPERLINK("https://twitter.com/llerices/status/1065206878286868480","1065206878286868480")</f>
        <v>1065206878286868480</v>
      </c>
      <c r="F945" s="11" t="s">
        <v>3485</v>
      </c>
      <c r="G945" s="12"/>
      <c r="H945" s="12"/>
      <c r="I945" s="13">
        <v>0</v>
      </c>
      <c r="J945" s="13">
        <v>0</v>
      </c>
      <c r="K945" s="14" t="str">
        <f>HYPERLINK("http://twitter.com","Twitter Web Client")</f>
        <v>Twitter Web Client</v>
      </c>
      <c r="L945" s="13">
        <v>647</v>
      </c>
      <c r="M945" s="13">
        <v>682</v>
      </c>
      <c r="N945" s="13">
        <v>12</v>
      </c>
      <c r="O945" s="15"/>
      <c r="P945" s="6">
        <v>40444.576342592591</v>
      </c>
      <c r="Q945" s="17" t="s">
        <v>3480</v>
      </c>
      <c r="R945" s="16" t="s">
        <v>3481</v>
      </c>
      <c r="S945" s="12"/>
      <c r="T945" s="12"/>
      <c r="U945" s="10" t="str">
        <f>HYPERLINK("https://pbs.twimg.com/profile_images/670899507400482816/kPZQ71Og.jpg","View")</f>
        <v>View</v>
      </c>
    </row>
    <row r="946" spans="1:21" ht="51">
      <c r="A946" s="6">
        <v>43425.145000000004</v>
      </c>
      <c r="B946" s="7" t="str">
        <f>HYPERLINK("https://twitter.com/pnique","@pnique")</f>
        <v>@pnique</v>
      </c>
      <c r="C946" s="8" t="s">
        <v>3486</v>
      </c>
      <c r="D946" s="9" t="s">
        <v>3487</v>
      </c>
      <c r="E946" s="10" t="str">
        <f>HYPERLINK("https://twitter.com/pnique/status/1065205380941258752","1065205380941258752")</f>
        <v>1065205380941258752</v>
      </c>
      <c r="F946" s="11" t="s">
        <v>3488</v>
      </c>
      <c r="G946" s="12"/>
      <c r="H946" s="12"/>
      <c r="I946" s="13">
        <v>213</v>
      </c>
      <c r="J946" s="13">
        <v>217</v>
      </c>
      <c r="K946" s="14" t="str">
        <f>HYPERLINK("https://buffer.com","Buffer")</f>
        <v>Buffer</v>
      </c>
      <c r="L946" s="13">
        <v>434211</v>
      </c>
      <c r="M946" s="13">
        <v>2000</v>
      </c>
      <c r="N946" s="13">
        <v>2555</v>
      </c>
      <c r="O946" s="19" t="s">
        <v>74</v>
      </c>
      <c r="P946" s="6">
        <v>39892.503287037034</v>
      </c>
      <c r="Q946" s="17" t="s">
        <v>29</v>
      </c>
      <c r="R946" s="16" t="s">
        <v>3489</v>
      </c>
      <c r="S946" s="11" t="s">
        <v>3490</v>
      </c>
      <c r="T946" s="12"/>
      <c r="U946" s="10" t="str">
        <f>HYPERLINK("https://pbs.twimg.com/profile_images/1023484378364760065/1e8RgI_V.jpg","View")</f>
        <v>View</v>
      </c>
    </row>
    <row r="947" spans="1:21" ht="30.6">
      <c r="A947" s="6">
        <v>43425.143657407403</v>
      </c>
      <c r="B947" s="7" t="str">
        <f>HYPERLINK("https://twitter.com/majara0","@majara0")</f>
        <v>@majara0</v>
      </c>
      <c r="C947" s="8" t="s">
        <v>1282</v>
      </c>
      <c r="D947" s="9" t="s">
        <v>3491</v>
      </c>
      <c r="E947" s="10" t="str">
        <f>HYPERLINK("https://twitter.com/majara0/status/1065204897988136960","1065204897988136960")</f>
        <v>1065204897988136960</v>
      </c>
      <c r="F947" s="11" t="s">
        <v>2616</v>
      </c>
      <c r="G947" s="12"/>
      <c r="H947" s="12"/>
      <c r="I947" s="13">
        <v>3</v>
      </c>
      <c r="J947" s="13">
        <v>5</v>
      </c>
      <c r="K947" s="14" t="str">
        <f t="shared" ref="K947:K949" si="179">HYPERLINK("http://twitter.com/download/android","Twitter for Android")</f>
        <v>Twitter for Android</v>
      </c>
      <c r="L947" s="13">
        <v>21503</v>
      </c>
      <c r="M947" s="13">
        <v>532</v>
      </c>
      <c r="N947" s="13">
        <v>356</v>
      </c>
      <c r="O947" s="15"/>
      <c r="P947" s="6">
        <v>41758.627708333333</v>
      </c>
      <c r="Q947" s="11" t="s">
        <v>1284</v>
      </c>
      <c r="R947" s="16" t="s">
        <v>1285</v>
      </c>
      <c r="S947" s="11" t="s">
        <v>1286</v>
      </c>
      <c r="T947" s="12"/>
      <c r="U947" s="10" t="str">
        <f>HYPERLINK("https://pbs.twimg.com/profile_images/870010551069552640/17jVtRsw.jpg","View")</f>
        <v>View</v>
      </c>
    </row>
    <row r="948" spans="1:21" ht="81.599999999999994">
      <c r="A948" s="6">
        <v>43425.14163194444</v>
      </c>
      <c r="B948" s="7" t="str">
        <f>HYPERLINK("https://twitter.com/jonmocholi14","@jonmocholi14")</f>
        <v>@jonmocholi14</v>
      </c>
      <c r="C948" s="8" t="s">
        <v>3492</v>
      </c>
      <c r="D948" s="9" t="s">
        <v>3493</v>
      </c>
      <c r="E948" s="10" t="str">
        <f>HYPERLINK("https://twitter.com/jonmocholi14/status/1065204160629534720","1065204160629534720")</f>
        <v>1065204160629534720</v>
      </c>
      <c r="F948" s="17" t="s">
        <v>3494</v>
      </c>
      <c r="G948" s="12"/>
      <c r="H948" s="12"/>
      <c r="I948" s="13">
        <v>0</v>
      </c>
      <c r="J948" s="13">
        <v>0</v>
      </c>
      <c r="K948" s="14" t="str">
        <f t="shared" si="179"/>
        <v>Twitter for Android</v>
      </c>
      <c r="L948" s="13">
        <v>322</v>
      </c>
      <c r="M948" s="13">
        <v>910</v>
      </c>
      <c r="N948" s="13">
        <v>1</v>
      </c>
      <c r="O948" s="15"/>
      <c r="P948" s="6">
        <v>40546.386261574073</v>
      </c>
      <c r="Q948" s="17" t="s">
        <v>179</v>
      </c>
      <c r="R948" s="16" t="s">
        <v>3495</v>
      </c>
      <c r="S948" s="12"/>
      <c r="T948" s="12"/>
      <c r="U948" s="10" t="str">
        <f>HYPERLINK("https://pbs.twimg.com/profile_images/908996448024449025/_YOhkXUN.jpg","View")</f>
        <v>View</v>
      </c>
    </row>
    <row r="949" spans="1:21" ht="40.799999999999997">
      <c r="A949" s="6">
        <v>43425.140347222223</v>
      </c>
      <c r="B949" s="7" t="str">
        <f>HYPERLINK("https://twitter.com/poconospasa","@poconospasa")</f>
        <v>@poconospasa</v>
      </c>
      <c r="C949" s="8" t="s">
        <v>3496</v>
      </c>
      <c r="D949" s="9" t="s">
        <v>3497</v>
      </c>
      <c r="E949" s="10" t="str">
        <f>HYPERLINK("https://twitter.com/poconospasa/status/1065203695527301121","1065203695527301121")</f>
        <v>1065203695527301121</v>
      </c>
      <c r="F949" s="17" t="s">
        <v>3498</v>
      </c>
      <c r="G949" s="12"/>
      <c r="H949" s="12"/>
      <c r="I949" s="13">
        <v>0</v>
      </c>
      <c r="J949" s="13">
        <v>0</v>
      </c>
      <c r="K949" s="14" t="str">
        <f t="shared" si="179"/>
        <v>Twitter for Android</v>
      </c>
      <c r="L949" s="13">
        <v>136</v>
      </c>
      <c r="M949" s="13">
        <v>42</v>
      </c>
      <c r="N949" s="13">
        <v>1</v>
      </c>
      <c r="O949" s="15"/>
      <c r="P949" s="6">
        <v>42087.319849537038</v>
      </c>
      <c r="Q949" s="12"/>
      <c r="R949" s="16" t="s">
        <v>3499</v>
      </c>
      <c r="S949" s="12"/>
      <c r="T949" s="12"/>
      <c r="U949" s="10" t="str">
        <f>HYPERLINK("https://pbs.twimg.com/profile_images/1046814783423565825/7U_WFUc4.jpg","View")</f>
        <v>View</v>
      </c>
    </row>
    <row r="950" spans="1:21" ht="30.6">
      <c r="A950" s="6">
        <v>43425.139340277776</v>
      </c>
      <c r="B950" s="7" t="str">
        <f>HYPERLINK("https://twitter.com/inosenada","@inosenada")</f>
        <v>@inosenada</v>
      </c>
      <c r="C950" s="8" t="s">
        <v>3500</v>
      </c>
      <c r="D950" s="9" t="s">
        <v>3501</v>
      </c>
      <c r="E950" s="10" t="str">
        <f>HYPERLINK("https://twitter.com/inosenada/status/1065203331650473985","1065203331650473985")</f>
        <v>1065203331650473985</v>
      </c>
      <c r="F950" s="11" t="s">
        <v>3502</v>
      </c>
      <c r="G950" s="12"/>
      <c r="H950" s="12"/>
      <c r="I950" s="13">
        <v>2</v>
      </c>
      <c r="J950" s="13">
        <v>2</v>
      </c>
      <c r="K950" s="14" t="str">
        <f>HYPERLINK("http://twitter.com","Twitter Web Client")</f>
        <v>Twitter Web Client</v>
      </c>
      <c r="L950" s="13">
        <v>6765</v>
      </c>
      <c r="M950" s="13">
        <v>3714</v>
      </c>
      <c r="N950" s="13">
        <v>47</v>
      </c>
      <c r="O950" s="15"/>
      <c r="P950" s="6">
        <v>40799.172951388886</v>
      </c>
      <c r="Q950" s="17" t="s">
        <v>3503</v>
      </c>
      <c r="R950" s="16" t="s">
        <v>3504</v>
      </c>
      <c r="S950" s="12"/>
      <c r="T950" s="12"/>
      <c r="U950" s="10" t="str">
        <f>HYPERLINK("https://pbs.twimg.com/profile_images/673826896237436928/9f9N-odr.png","View")</f>
        <v>View</v>
      </c>
    </row>
    <row r="951" spans="1:21" ht="30.6">
      <c r="A951" s="6">
        <v>43425.137395833328</v>
      </c>
      <c r="B951" s="7" t="str">
        <f>HYPERLINK("https://twitter.com/AURELIAJEREZ","@AURELIAJEREZ")</f>
        <v>@AURELIAJEREZ</v>
      </c>
      <c r="C951" s="8" t="s">
        <v>3505</v>
      </c>
      <c r="D951" s="9" t="s">
        <v>3421</v>
      </c>
      <c r="E951" s="10" t="str">
        <f>HYPERLINK("https://twitter.com/AURELIAJEREZ/status/1065202626957058048","1065202626957058048")</f>
        <v>1065202626957058048</v>
      </c>
      <c r="F951" s="11" t="s">
        <v>3506</v>
      </c>
      <c r="G951" s="12"/>
      <c r="H951" s="12"/>
      <c r="I951" s="13">
        <v>0</v>
      </c>
      <c r="J951" s="13">
        <v>0</v>
      </c>
      <c r="K951" s="14" t="str">
        <f t="shared" ref="K951:K952" si="180">HYPERLINK("http://twitter.com/download/android","Twitter for Android")</f>
        <v>Twitter for Android</v>
      </c>
      <c r="L951" s="13">
        <v>3253</v>
      </c>
      <c r="M951" s="13">
        <v>1989</v>
      </c>
      <c r="N951" s="13">
        <v>87</v>
      </c>
      <c r="O951" s="15"/>
      <c r="P951" s="6">
        <v>41224.40079861111</v>
      </c>
      <c r="Q951" s="17" t="s">
        <v>3507</v>
      </c>
      <c r="R951" s="16" t="s">
        <v>3508</v>
      </c>
      <c r="S951" s="11" t="s">
        <v>3509</v>
      </c>
      <c r="T951" s="12"/>
      <c r="U951" s="10" t="str">
        <f>HYPERLINK("https://pbs.twimg.com/profile_images/1041448487039188992/GoZpfxjT.jpg","View")</f>
        <v>View</v>
      </c>
    </row>
    <row r="952" spans="1:21" ht="40.799999999999997">
      <c r="A952" s="6">
        <v>43425.133599537032</v>
      </c>
      <c r="B952" s="7" t="str">
        <f>HYPERLINK("https://twitter.com/ProtheanTom","@ProtheanTom")</f>
        <v>@ProtheanTom</v>
      </c>
      <c r="C952" s="8" t="s">
        <v>3153</v>
      </c>
      <c r="D952" s="9" t="s">
        <v>3510</v>
      </c>
      <c r="E952" s="10" t="str">
        <f>HYPERLINK("https://twitter.com/ProtheanTom/status/1065201252932423680","1065201252932423680")</f>
        <v>1065201252932423680</v>
      </c>
      <c r="F952" s="11" t="s">
        <v>3511</v>
      </c>
      <c r="G952" s="12"/>
      <c r="H952" s="12"/>
      <c r="I952" s="13">
        <v>0</v>
      </c>
      <c r="J952" s="13">
        <v>0</v>
      </c>
      <c r="K952" s="14" t="str">
        <f t="shared" si="180"/>
        <v>Twitter for Android</v>
      </c>
      <c r="L952" s="13">
        <v>169</v>
      </c>
      <c r="M952" s="13">
        <v>409</v>
      </c>
      <c r="N952" s="13">
        <v>0</v>
      </c>
      <c r="O952" s="15"/>
      <c r="P952" s="6">
        <v>42652.17832175926</v>
      </c>
      <c r="Q952" s="12"/>
      <c r="R952" s="16" t="s">
        <v>3155</v>
      </c>
      <c r="S952" s="12"/>
      <c r="T952" s="12"/>
      <c r="U952" s="10" t="str">
        <f>HYPERLINK("https://pbs.twimg.com/profile_images/785082603825233920/ALs791NZ.jpg","View")</f>
        <v>View</v>
      </c>
    </row>
    <row r="953" spans="1:21" ht="40.799999999999997">
      <c r="A953" s="6">
        <v>43425.129652777774</v>
      </c>
      <c r="B953" s="7" t="str">
        <f>HYPERLINK("https://twitter.com/protestona1","@protestona1")</f>
        <v>@protestona1</v>
      </c>
      <c r="C953" s="8" t="s">
        <v>1466</v>
      </c>
      <c r="D953" s="9" t="s">
        <v>3512</v>
      </c>
      <c r="E953" s="10" t="str">
        <f>HYPERLINK("https://twitter.com/protestona1/status/1065199820246269952","1065199820246269952")</f>
        <v>1065199820246269952</v>
      </c>
      <c r="F953" s="12"/>
      <c r="G953" s="12"/>
      <c r="H953" s="12"/>
      <c r="I953" s="13">
        <v>80</v>
      </c>
      <c r="J953" s="13">
        <v>169</v>
      </c>
      <c r="K953" s="14" t="str">
        <f>HYPERLINK("http://twitter.com","Twitter Web Client")</f>
        <v>Twitter Web Client</v>
      </c>
      <c r="L953" s="13">
        <v>151543</v>
      </c>
      <c r="M953" s="13">
        <v>2210</v>
      </c>
      <c r="N953" s="13">
        <v>4</v>
      </c>
      <c r="O953" s="15"/>
      <c r="P953" s="6">
        <v>41352.488032407404</v>
      </c>
      <c r="Q953" s="17" t="s">
        <v>118</v>
      </c>
      <c r="R953" s="16" t="s">
        <v>1469</v>
      </c>
      <c r="S953" s="11" t="s">
        <v>1470</v>
      </c>
      <c r="T953" s="12"/>
      <c r="U953" s="10" t="str">
        <f>HYPERLINK("https://pbs.twimg.com/profile_images/1014938895501463552/_oCE6Q1b.jpg","View")</f>
        <v>View</v>
      </c>
    </row>
    <row r="954" spans="1:21" ht="30.6">
      <c r="A954" s="6">
        <v>43425.121944444443</v>
      </c>
      <c r="B954" s="7" t="str">
        <f>HYPERLINK("https://twitter.com/mdetoroh","@mdetoroh")</f>
        <v>@mdetoroh</v>
      </c>
      <c r="C954" s="8" t="s">
        <v>3513</v>
      </c>
      <c r="D954" s="9" t="s">
        <v>3514</v>
      </c>
      <c r="E954" s="10" t="str">
        <f>HYPERLINK("https://twitter.com/mdetoroh/status/1065197026835554304","1065197026835554304")</f>
        <v>1065197026835554304</v>
      </c>
      <c r="F954" s="12"/>
      <c r="G954" s="12"/>
      <c r="H954" s="12"/>
      <c r="I954" s="13">
        <v>1</v>
      </c>
      <c r="J954" s="13">
        <v>1</v>
      </c>
      <c r="K954" s="14" t="str">
        <f>HYPERLINK("http://twitter.com/download/iphone","Twitter for iPhone")</f>
        <v>Twitter for iPhone</v>
      </c>
      <c r="L954" s="13">
        <v>495</v>
      </c>
      <c r="M954" s="13">
        <v>1718</v>
      </c>
      <c r="N954" s="13">
        <v>12</v>
      </c>
      <c r="O954" s="15"/>
      <c r="P954" s="6">
        <v>40599.359756944446</v>
      </c>
      <c r="Q954" s="17" t="s">
        <v>26</v>
      </c>
      <c r="R954" s="16" t="s">
        <v>3516</v>
      </c>
      <c r="S954" s="11" t="s">
        <v>3517</v>
      </c>
      <c r="T954" s="12"/>
      <c r="U954" s="10" t="str">
        <f>HYPERLINK("https://pbs.twimg.com/profile_images/1062028205345964035/D0unC4So.jpg","View")</f>
        <v>View</v>
      </c>
    </row>
    <row r="955" spans="1:21" ht="40.799999999999997">
      <c r="A955" s="6">
        <v>43425.120520833334</v>
      </c>
      <c r="B955" s="7" t="str">
        <f>HYPERLINK("https://twitter.com/MONTESQUIEU1956","@MONTESQUIEU1956")</f>
        <v>@MONTESQUIEU1956</v>
      </c>
      <c r="C955" s="8" t="s">
        <v>3518</v>
      </c>
      <c r="D955" s="9" t="s">
        <v>3302</v>
      </c>
      <c r="E955" s="10" t="str">
        <f>HYPERLINK("https://twitter.com/MONTESQUIEU1956/status/1065196510235844608","1065196510235844608")</f>
        <v>1065196510235844608</v>
      </c>
      <c r="F955" s="11" t="s">
        <v>2005</v>
      </c>
      <c r="G955" s="12"/>
      <c r="H955" s="12"/>
      <c r="I955" s="13">
        <v>0</v>
      </c>
      <c r="J955" s="13">
        <v>0</v>
      </c>
      <c r="K955" s="14" t="str">
        <f>HYPERLINK("http://twitter.com","Twitter Web Client")</f>
        <v>Twitter Web Client</v>
      </c>
      <c r="L955" s="13">
        <v>17002</v>
      </c>
      <c r="M955" s="13">
        <v>18432</v>
      </c>
      <c r="N955" s="13">
        <v>498</v>
      </c>
      <c r="O955" s="15"/>
      <c r="P955" s="6">
        <v>40349.451168981483</v>
      </c>
      <c r="Q955" s="17" t="s">
        <v>3519</v>
      </c>
      <c r="R955" s="16" t="s">
        <v>3520</v>
      </c>
      <c r="S955" s="11" t="s">
        <v>3521</v>
      </c>
      <c r="T955" s="12"/>
      <c r="U955" s="10" t="str">
        <f>HYPERLINK("https://pbs.twimg.com/profile_images/1261600286/MONTESQUIEU.jpg","View")</f>
        <v>View</v>
      </c>
    </row>
    <row r="956" spans="1:21" ht="40.799999999999997">
      <c r="A956" s="6">
        <v>43425.119953703703</v>
      </c>
      <c r="B956" s="7" t="str">
        <f>HYPERLINK("https://twitter.com/Perdulari","@Perdulari")</f>
        <v>@Perdulari</v>
      </c>
      <c r="C956" s="8" t="s">
        <v>3522</v>
      </c>
      <c r="D956" s="9" t="s">
        <v>3523</v>
      </c>
      <c r="E956" s="10" t="str">
        <f>HYPERLINK("https://twitter.com/Perdulari/status/1065196306384265216","1065196306384265216")</f>
        <v>1065196306384265216</v>
      </c>
      <c r="F956" s="12"/>
      <c r="G956" s="12"/>
      <c r="H956" s="12"/>
      <c r="I956" s="13">
        <v>0</v>
      </c>
      <c r="J956" s="13">
        <v>2</v>
      </c>
      <c r="K956" s="14" t="str">
        <f t="shared" ref="K956:K958" si="181">HYPERLINK("http://twitter.com/download/android","Twitter for Android")</f>
        <v>Twitter for Android</v>
      </c>
      <c r="L956" s="13">
        <v>28</v>
      </c>
      <c r="M956" s="13">
        <v>64</v>
      </c>
      <c r="N956" s="13">
        <v>0</v>
      </c>
      <c r="O956" s="15"/>
      <c r="P956" s="6">
        <v>43002.235648148147</v>
      </c>
      <c r="Q956" s="12"/>
      <c r="R956" s="18"/>
      <c r="S956" s="12"/>
      <c r="T956" s="12"/>
      <c r="U956" s="10" t="str">
        <f>HYPERLINK("https://pbs.twimg.com/profile_images/960947192654696448/FnsW3EVT.jpg","View")</f>
        <v>View</v>
      </c>
    </row>
    <row r="957" spans="1:21" ht="51">
      <c r="A957" s="6">
        <v>43425.117395833338</v>
      </c>
      <c r="B957" s="7" t="str">
        <f>HYPERLINK("https://twitter.com/Wertyalord1","@Wertyalord1")</f>
        <v>@Wertyalord1</v>
      </c>
      <c r="C957" s="8" t="s">
        <v>1456</v>
      </c>
      <c r="D957" s="9" t="s">
        <v>3524</v>
      </c>
      <c r="E957" s="10" t="str">
        <f>HYPERLINK("https://twitter.com/Wertyalord1/status/1065195377593331714","1065195377593331714")</f>
        <v>1065195377593331714</v>
      </c>
      <c r="F957" s="12"/>
      <c r="G957" s="12"/>
      <c r="H957" s="12"/>
      <c r="I957" s="13">
        <v>1</v>
      </c>
      <c r="J957" s="13">
        <v>1</v>
      </c>
      <c r="K957" s="14" t="str">
        <f t="shared" si="181"/>
        <v>Twitter for Android</v>
      </c>
      <c r="L957" s="13">
        <v>4591</v>
      </c>
      <c r="M957" s="13">
        <v>3215</v>
      </c>
      <c r="N957" s="13">
        <v>102</v>
      </c>
      <c r="O957" s="15"/>
      <c r="P957" s="6">
        <v>41363.156180555554</v>
      </c>
      <c r="Q957" s="17" t="s">
        <v>1460</v>
      </c>
      <c r="R957" s="16" t="s">
        <v>1461</v>
      </c>
      <c r="S957" s="12"/>
      <c r="T957" s="12"/>
      <c r="U957" s="10" t="str">
        <f>HYPERLINK("https://pbs.twimg.com/profile_images/1003671021361205249/sAzGWgYk.jpg","View")</f>
        <v>View</v>
      </c>
    </row>
    <row r="958" spans="1:21" ht="40.799999999999997">
      <c r="A958" s="6">
        <v>43425.117256944446</v>
      </c>
      <c r="B958" s="7" t="str">
        <f>HYPERLINK("https://twitter.com/DRZRZ","@DRZRZ")</f>
        <v>@DRZRZ</v>
      </c>
      <c r="C958" s="8" t="s">
        <v>3525</v>
      </c>
      <c r="D958" s="9" t="s">
        <v>3526</v>
      </c>
      <c r="E958" s="10" t="str">
        <f>HYPERLINK("https://twitter.com/DRZRZ/status/1065195330310938624","1065195330310938624")</f>
        <v>1065195330310938624</v>
      </c>
      <c r="F958" s="11" t="s">
        <v>3527</v>
      </c>
      <c r="G958" s="12"/>
      <c r="H958" s="12"/>
      <c r="I958" s="13">
        <v>2</v>
      </c>
      <c r="J958" s="13">
        <v>3</v>
      </c>
      <c r="K958" s="14" t="str">
        <f t="shared" si="181"/>
        <v>Twitter for Android</v>
      </c>
      <c r="L958" s="13">
        <v>21589</v>
      </c>
      <c r="M958" s="13">
        <v>23191</v>
      </c>
      <c r="N958" s="13">
        <v>166</v>
      </c>
      <c r="O958" s="15"/>
      <c r="P958" s="6">
        <v>40255.31391203704</v>
      </c>
      <c r="Q958" s="12"/>
      <c r="R958" s="16" t="s">
        <v>3528</v>
      </c>
      <c r="S958" s="12"/>
      <c r="T958" s="12"/>
      <c r="U958" s="10" t="str">
        <f>HYPERLINK("https://pbs.twimg.com/profile_images/1008819419554906112/dZpUbgs6.jpg","View")</f>
        <v>View</v>
      </c>
    </row>
    <row r="959" spans="1:21" ht="30.6">
      <c r="A959" s="6">
        <v>43425.116631944446</v>
      </c>
      <c r="B959" s="7" t="str">
        <f>HYPERLINK("https://twitter.com/brusual","@brusual")</f>
        <v>@brusual</v>
      </c>
      <c r="C959" s="8" t="s">
        <v>3529</v>
      </c>
      <c r="D959" s="9" t="s">
        <v>3117</v>
      </c>
      <c r="E959" s="10" t="str">
        <f>HYPERLINK("https://twitter.com/brusual/status/1065195103361347584","1065195103361347584")</f>
        <v>1065195103361347584</v>
      </c>
      <c r="F959" s="11" t="s">
        <v>3118</v>
      </c>
      <c r="G959" s="12"/>
      <c r="H959" s="12"/>
      <c r="I959" s="13">
        <v>1</v>
      </c>
      <c r="J959" s="13">
        <v>1</v>
      </c>
      <c r="K959" s="14" t="str">
        <f t="shared" ref="K959:K961" si="182">HYPERLINK("http://twitter.com","Twitter Web Client")</f>
        <v>Twitter Web Client</v>
      </c>
      <c r="L959" s="13">
        <v>264</v>
      </c>
      <c r="M959" s="13">
        <v>697</v>
      </c>
      <c r="N959" s="13">
        <v>5</v>
      </c>
      <c r="O959" s="15"/>
      <c r="P959" s="6">
        <v>40639.324583333335</v>
      </c>
      <c r="Q959" s="17" t="s">
        <v>29</v>
      </c>
      <c r="R959" s="16" t="s">
        <v>3531</v>
      </c>
      <c r="S959" s="12"/>
      <c r="T959" s="12"/>
      <c r="U959" s="10" t="str">
        <f>HYPERLINK("https://pbs.twimg.com/profile_images/1060284239751643136/5YjLRu4E.jpg","View")</f>
        <v>View</v>
      </c>
    </row>
    <row r="960" spans="1:21" ht="20.399999999999999">
      <c r="A960" s="6">
        <v>43425.115486111114</v>
      </c>
      <c r="B960" s="7" t="str">
        <f>HYPERLINK("https://twitter.com/SpazianiG","@SpazianiG")</f>
        <v>@SpazianiG</v>
      </c>
      <c r="C960" s="8" t="s">
        <v>3532</v>
      </c>
      <c r="D960" s="9" t="s">
        <v>3533</v>
      </c>
      <c r="E960" s="10" t="str">
        <f>HYPERLINK("https://twitter.com/SpazianiG/status/1065194685931683841","1065194685931683841")</f>
        <v>1065194685931683841</v>
      </c>
      <c r="F960" s="11" t="s">
        <v>3534</v>
      </c>
      <c r="G960" s="12"/>
      <c r="H960" s="12"/>
      <c r="I960" s="13">
        <v>0</v>
      </c>
      <c r="J960" s="13">
        <v>0</v>
      </c>
      <c r="K960" s="14" t="str">
        <f t="shared" si="182"/>
        <v>Twitter Web Client</v>
      </c>
      <c r="L960" s="13">
        <v>2697</v>
      </c>
      <c r="M960" s="13">
        <v>2449</v>
      </c>
      <c r="N960" s="13">
        <v>72</v>
      </c>
      <c r="O960" s="15"/>
      <c r="P960" s="6">
        <v>40869.496562500004</v>
      </c>
      <c r="Q960" s="17" t="s">
        <v>405</v>
      </c>
      <c r="R960" s="16" t="s">
        <v>3535</v>
      </c>
      <c r="S960" s="12"/>
      <c r="T960" s="12"/>
      <c r="U960" s="10" t="str">
        <f>HYPERLINK("https://pbs.twimg.com/profile_images/2397944309/qs6m1fbws67nyskcpe1v.jpeg","View")</f>
        <v>View</v>
      </c>
    </row>
    <row r="961" spans="1:21" ht="51">
      <c r="A961" s="6">
        <v>43425.114930555559</v>
      </c>
      <c r="B961" s="7" t="str">
        <f>HYPERLINK("https://twitter.com/GranCanariaTv","@GranCanariaTv")</f>
        <v>@GranCanariaTv</v>
      </c>
      <c r="C961" s="8" t="s">
        <v>3536</v>
      </c>
      <c r="D961" s="9" t="s">
        <v>3537</v>
      </c>
      <c r="E961" s="10" t="str">
        <f>HYPERLINK("https://twitter.com/GranCanariaTv/status/1065194487079677953","1065194487079677953")</f>
        <v>1065194487079677953</v>
      </c>
      <c r="F961" s="11" t="s">
        <v>3534</v>
      </c>
      <c r="G961" s="12"/>
      <c r="H961" s="12"/>
      <c r="I961" s="13">
        <v>0</v>
      </c>
      <c r="J961" s="13">
        <v>0</v>
      </c>
      <c r="K961" s="14" t="str">
        <f t="shared" si="182"/>
        <v>Twitter Web Client</v>
      </c>
      <c r="L961" s="13">
        <v>5000</v>
      </c>
      <c r="M961" s="13">
        <v>3356</v>
      </c>
      <c r="N961" s="13">
        <v>99</v>
      </c>
      <c r="O961" s="15"/>
      <c r="P961" s="6">
        <v>40504.614155092597</v>
      </c>
      <c r="Q961" s="17" t="s">
        <v>2270</v>
      </c>
      <c r="R961" s="16" t="s">
        <v>3538</v>
      </c>
      <c r="S961" s="11" t="s">
        <v>3539</v>
      </c>
      <c r="T961" s="12"/>
      <c r="U961" s="10" t="str">
        <f>HYPERLINK("https://pbs.twimg.com/profile_images/728335785527758848/RP6AGTBc.jpg","View")</f>
        <v>View</v>
      </c>
    </row>
    <row r="962" spans="1:21" ht="40.799999999999997">
      <c r="A962" s="6">
        <v>43425.113171296296</v>
      </c>
      <c r="B962" s="7" t="str">
        <f>HYPERLINK("https://twitter.com/ricardodg","@ricardodg")</f>
        <v>@ricardodg</v>
      </c>
      <c r="C962" s="8" t="s">
        <v>3540</v>
      </c>
      <c r="D962" s="9" t="s">
        <v>3541</v>
      </c>
      <c r="E962" s="10" t="str">
        <f>HYPERLINK("https://twitter.com/ricardodg/status/1065193846743736320","1065193846743736320")</f>
        <v>1065193846743736320</v>
      </c>
      <c r="F962" s="12"/>
      <c r="G962" s="11" t="s">
        <v>3542</v>
      </c>
      <c r="H962" s="12"/>
      <c r="I962" s="13">
        <v>1</v>
      </c>
      <c r="J962" s="13">
        <v>0</v>
      </c>
      <c r="K962" s="14" t="str">
        <f>HYPERLINK("http://twitter.com/download/iphone","Twitter for iPhone")</f>
        <v>Twitter for iPhone</v>
      </c>
      <c r="L962" s="13">
        <v>8925</v>
      </c>
      <c r="M962" s="13">
        <v>5456</v>
      </c>
      <c r="N962" s="13">
        <v>331</v>
      </c>
      <c r="O962" s="15"/>
      <c r="P962" s="6">
        <v>39920.642754629633</v>
      </c>
      <c r="Q962" s="17" t="s">
        <v>215</v>
      </c>
      <c r="R962" s="16" t="s">
        <v>3543</v>
      </c>
      <c r="S962" s="12"/>
      <c r="T962" s="12"/>
      <c r="U962" s="10" t="str">
        <f>HYPERLINK("https://pbs.twimg.com/profile_images/704382614455623680/tVpm5iER.jpg","View")</f>
        <v>View</v>
      </c>
    </row>
    <row r="963" spans="1:21" ht="30.6">
      <c r="A963" s="6">
        <v>43425.110625000001</v>
      </c>
      <c r="B963" s="7" t="str">
        <f>HYPERLINK("https://twitter.com/juanjoband24","@juanjoband24")</f>
        <v>@juanjoband24</v>
      </c>
      <c r="C963" s="8" t="s">
        <v>3544</v>
      </c>
      <c r="D963" s="9" t="s">
        <v>3545</v>
      </c>
      <c r="E963" s="10" t="str">
        <f>HYPERLINK("https://twitter.com/juanjoband24/status/1065192927067021312","1065192927067021312")</f>
        <v>1065192927067021312</v>
      </c>
      <c r="F963" s="12"/>
      <c r="G963" s="12"/>
      <c r="H963" s="12"/>
      <c r="I963" s="13">
        <v>5</v>
      </c>
      <c r="J963" s="13">
        <v>1</v>
      </c>
      <c r="K963" s="14" t="str">
        <f>HYPERLINK("http://twitter.com/download/android","Twitter for Android")</f>
        <v>Twitter for Android</v>
      </c>
      <c r="L963" s="13">
        <v>2098</v>
      </c>
      <c r="M963" s="13">
        <v>995</v>
      </c>
      <c r="N963" s="13">
        <v>13</v>
      </c>
      <c r="O963" s="15"/>
      <c r="P963" s="6">
        <v>40844.321689814817</v>
      </c>
      <c r="Q963" s="17" t="s">
        <v>3547</v>
      </c>
      <c r="R963" s="28" t="s">
        <v>3548</v>
      </c>
      <c r="S963" s="12"/>
      <c r="T963" s="12"/>
      <c r="U963" s="10" t="str">
        <f>HYPERLINK("https://pbs.twimg.com/profile_images/1031236136675491840/ZxteYaNT.jpg","View")</f>
        <v>View</v>
      </c>
    </row>
    <row r="964" spans="1:21" ht="30.6">
      <c r="A964" s="6">
        <v>43425.109710648147</v>
      </c>
      <c r="B964" s="7" t="str">
        <f>HYPERLINK("https://twitter.com/ontibe","@ontibe")</f>
        <v>@ontibe</v>
      </c>
      <c r="C964" s="8" t="s">
        <v>2275</v>
      </c>
      <c r="D964" s="9" t="s">
        <v>3302</v>
      </c>
      <c r="E964" s="10" t="str">
        <f>HYPERLINK("https://twitter.com/ontibe/status/1065192593200431104","1065192593200431104")</f>
        <v>1065192593200431104</v>
      </c>
      <c r="F964" s="11" t="s">
        <v>2005</v>
      </c>
      <c r="G964" s="12"/>
      <c r="H964" s="12"/>
      <c r="I964" s="13">
        <v>1</v>
      </c>
      <c r="J964" s="13">
        <v>0</v>
      </c>
      <c r="K964" s="14" t="str">
        <f>HYPERLINK("http://twitter.com","Twitter Web Client")</f>
        <v>Twitter Web Client</v>
      </c>
      <c r="L964" s="13">
        <v>432</v>
      </c>
      <c r="M964" s="13">
        <v>1265</v>
      </c>
      <c r="N964" s="13">
        <v>1</v>
      </c>
      <c r="O964" s="15"/>
      <c r="P964" s="6">
        <v>40673.252766203703</v>
      </c>
      <c r="Q964" s="17" t="s">
        <v>2277</v>
      </c>
      <c r="R964" s="16" t="s">
        <v>2278</v>
      </c>
      <c r="S964" s="12"/>
      <c r="T964" s="12"/>
      <c r="U964" s="10" t="str">
        <f>HYPERLINK("https://pbs.twimg.com/profile_images/867069058037972993/9c2-Wrp7.jpg","View")</f>
        <v>View</v>
      </c>
    </row>
    <row r="965" spans="1:21" ht="20.399999999999999">
      <c r="A965" s="6">
        <v>43425.107766203699</v>
      </c>
      <c r="B965" s="7" t="str">
        <f>HYPERLINK("https://twitter.com/manolocoronelca","@manolocoronelca")</f>
        <v>@manolocoronelca</v>
      </c>
      <c r="C965" s="8" t="s">
        <v>3549</v>
      </c>
      <c r="D965" s="9" t="s">
        <v>3550</v>
      </c>
      <c r="E965" s="10" t="str">
        <f>HYPERLINK("https://twitter.com/manolocoronelca/status/1065191889920540673","1065191889920540673")</f>
        <v>1065191889920540673</v>
      </c>
      <c r="F965" s="11" t="s">
        <v>3368</v>
      </c>
      <c r="G965" s="12"/>
      <c r="H965" s="12"/>
      <c r="I965" s="13">
        <v>0</v>
      </c>
      <c r="J965" s="13">
        <v>0</v>
      </c>
      <c r="K965" s="14" t="str">
        <f>HYPERLINK("http://www.facebook.com/twitter","Facebook")</f>
        <v>Facebook</v>
      </c>
      <c r="L965" s="13">
        <v>137</v>
      </c>
      <c r="M965" s="13">
        <v>213</v>
      </c>
      <c r="N965" s="13">
        <v>4</v>
      </c>
      <c r="O965" s="15"/>
      <c r="P965" s="6">
        <v>41108.454259259262</v>
      </c>
      <c r="Q965" s="17" t="s">
        <v>3551</v>
      </c>
      <c r="R965" s="16" t="s">
        <v>3552</v>
      </c>
      <c r="S965" s="11" t="s">
        <v>3553</v>
      </c>
      <c r="T965" s="12"/>
      <c r="U965" s="10" t="str">
        <f>HYPERLINK("https://pbs.twimg.com/profile_images/2479715293/zekric8i7da3sf3hfnx4.jpeg","View")</f>
        <v>View</v>
      </c>
    </row>
    <row r="966" spans="1:21" ht="51">
      <c r="A966" s="6">
        <v>43425.105358796296</v>
      </c>
      <c r="B966" s="7" t="str">
        <f>HYPERLINK("https://twitter.com/lopezbarrancoj4","@lopezbarrancoj4")</f>
        <v>@lopezbarrancoj4</v>
      </c>
      <c r="C966" s="8" t="s">
        <v>402</v>
      </c>
      <c r="D966" s="9" t="s">
        <v>3554</v>
      </c>
      <c r="E966" s="10" t="str">
        <f>HYPERLINK("https://twitter.com/lopezbarrancoj4/status/1065191018289602560","1065191018289602560")</f>
        <v>1065191018289602560</v>
      </c>
      <c r="F966" s="12"/>
      <c r="G966" s="12"/>
      <c r="H966" s="12"/>
      <c r="I966" s="13">
        <v>0</v>
      </c>
      <c r="J966" s="13">
        <v>0</v>
      </c>
      <c r="K966" s="14" t="str">
        <f>HYPERLINK("http://twitter.com","Twitter Web Client")</f>
        <v>Twitter Web Client</v>
      </c>
      <c r="L966" s="13">
        <v>10</v>
      </c>
      <c r="M966" s="13">
        <v>46</v>
      </c>
      <c r="N966" s="13">
        <v>0</v>
      </c>
      <c r="O966" s="15"/>
      <c r="P966" s="6">
        <v>42912.069780092592</v>
      </c>
      <c r="Q966" s="12"/>
      <c r="R966" s="18"/>
      <c r="S966" s="12"/>
      <c r="T966" s="12"/>
      <c r="U966" s="19" t="s">
        <v>368</v>
      </c>
    </row>
    <row r="967" spans="1:21" ht="30.6">
      <c r="A967" s="6">
        <v>43425.105023148149</v>
      </c>
      <c r="B967" s="7" t="str">
        <f>HYPERLINK("https://twitter.com/fernandobosch16","@fernandobosch16")</f>
        <v>@fernandobosch16</v>
      </c>
      <c r="C967" s="8" t="s">
        <v>3555</v>
      </c>
      <c r="D967" s="9" t="s">
        <v>3556</v>
      </c>
      <c r="E967" s="10" t="str">
        <f>HYPERLINK("https://twitter.com/fernandobosch16/status/1065190893693620224","1065190893693620224")</f>
        <v>1065190893693620224</v>
      </c>
      <c r="F967" s="12"/>
      <c r="G967" s="11" t="s">
        <v>3557</v>
      </c>
      <c r="H967" s="12"/>
      <c r="I967" s="13">
        <v>1</v>
      </c>
      <c r="J967" s="13">
        <v>2</v>
      </c>
      <c r="K967" s="14" t="str">
        <f>HYPERLINK("http://twitter.com/download/iphone","Twitter for iPhone")</f>
        <v>Twitter for iPhone</v>
      </c>
      <c r="L967" s="13">
        <v>25</v>
      </c>
      <c r="M967" s="13">
        <v>164</v>
      </c>
      <c r="N967" s="13">
        <v>0</v>
      </c>
      <c r="O967" s="15"/>
      <c r="P967" s="6">
        <v>42884.026226851856</v>
      </c>
      <c r="Q967" s="17" t="s">
        <v>3558</v>
      </c>
      <c r="R967" s="18"/>
      <c r="S967" s="12"/>
      <c r="T967" s="12"/>
      <c r="U967" s="10" t="str">
        <f>HYPERLINK("https://pbs.twimg.com/profile_images/1062383207587479552/AcsydEBq.jpg","View")</f>
        <v>View</v>
      </c>
    </row>
    <row r="968" spans="1:21" ht="51">
      <c r="A968" s="6">
        <v>43425.100428240738</v>
      </c>
      <c r="B968" s="7" t="str">
        <f>HYPERLINK("https://twitter.com/4estado","@4estado")</f>
        <v>@4estado</v>
      </c>
      <c r="C968" s="8" t="s">
        <v>3559</v>
      </c>
      <c r="D968" s="9" t="s">
        <v>3560</v>
      </c>
      <c r="E968" s="10" t="str">
        <f>HYPERLINK("https://twitter.com/4estado/status/1065189229708394496","1065189229708394496")</f>
        <v>1065189229708394496</v>
      </c>
      <c r="F968" s="12"/>
      <c r="G968" s="12"/>
      <c r="H968" s="12"/>
      <c r="I968" s="13">
        <v>1</v>
      </c>
      <c r="J968" s="13">
        <v>2</v>
      </c>
      <c r="K968" s="14" t="str">
        <f>HYPERLINK("http://twitter.com","Twitter Web Client")</f>
        <v>Twitter Web Client</v>
      </c>
      <c r="L968" s="13">
        <v>97</v>
      </c>
      <c r="M968" s="13">
        <v>205</v>
      </c>
      <c r="N968" s="13">
        <v>4</v>
      </c>
      <c r="O968" s="15"/>
      <c r="P968" s="6">
        <v>42594.129490740743</v>
      </c>
      <c r="Q968" s="12"/>
      <c r="R968" s="16" t="s">
        <v>3561</v>
      </c>
      <c r="S968" s="12"/>
      <c r="T968" s="12"/>
      <c r="U968" s="10" t="str">
        <f>HYPERLINK("https://pbs.twimg.com/profile_images/838727081718657026/4JdIbsjf.jpg","View")</f>
        <v>View</v>
      </c>
    </row>
    <row r="969" spans="1:21" ht="51">
      <c r="A969" s="6">
        <v>43425.096342592587</v>
      </c>
      <c r="B969" s="7" t="str">
        <f>HYPERLINK("https://twitter.com/EstTartessica","@EstTartessica")</f>
        <v>@EstTartessica</v>
      </c>
      <c r="C969" s="22" t="s">
        <v>3562</v>
      </c>
      <c r="D969" s="9" t="s">
        <v>3563</v>
      </c>
      <c r="E969" s="10" t="str">
        <f>HYPERLINK("https://twitter.com/EstTartessica/status/1065187750209617921","1065187750209617921")</f>
        <v>1065187750209617921</v>
      </c>
      <c r="F969" s="12"/>
      <c r="G969" s="12"/>
      <c r="H969" s="12"/>
      <c r="I969" s="13">
        <v>0</v>
      </c>
      <c r="J969" s="13">
        <v>0</v>
      </c>
      <c r="K969" s="14" t="str">
        <f>HYPERLINK("https://mobile.twitter.com","Twitter Lite")</f>
        <v>Twitter Lite</v>
      </c>
      <c r="L969" s="13">
        <v>186</v>
      </c>
      <c r="M969" s="13">
        <v>871</v>
      </c>
      <c r="N969" s="13">
        <v>2</v>
      </c>
      <c r="O969" s="15"/>
      <c r="P969" s="6">
        <v>43267.461319444439</v>
      </c>
      <c r="Q969" s="17" t="s">
        <v>3564</v>
      </c>
      <c r="R969" s="16" t="s">
        <v>3565</v>
      </c>
      <c r="S969" s="12"/>
      <c r="T969" s="12"/>
      <c r="U969" s="10" t="str">
        <f>HYPERLINK("https://pbs.twimg.com/profile_images/1022966515920986112/hijN6gOO.jpg","View")</f>
        <v>View</v>
      </c>
    </row>
    <row r="970" spans="1:21" ht="40.799999999999997">
      <c r="A970" s="6">
        <v>43425.096087962964</v>
      </c>
      <c r="B970" s="7" t="str">
        <f>HYPERLINK("https://twitter.com/SOTILLOF1","@SOTILLOF1")</f>
        <v>@SOTILLOF1</v>
      </c>
      <c r="C970" s="8" t="s">
        <v>3566</v>
      </c>
      <c r="D970" s="9" t="s">
        <v>3567</v>
      </c>
      <c r="E970" s="10" t="str">
        <f>HYPERLINK("https://twitter.com/SOTILLOF1/status/1065187657460957184","1065187657460957184")</f>
        <v>1065187657460957184</v>
      </c>
      <c r="F970" s="17" t="s">
        <v>3568</v>
      </c>
      <c r="G970" s="11" t="s">
        <v>3569</v>
      </c>
      <c r="H970" s="12"/>
      <c r="I970" s="13">
        <v>1</v>
      </c>
      <c r="J970" s="13">
        <v>0</v>
      </c>
      <c r="K970" s="14" t="str">
        <f>HYPERLINK("http://twitter.com","Twitter Web Client")</f>
        <v>Twitter Web Client</v>
      </c>
      <c r="L970" s="13">
        <v>669</v>
      </c>
      <c r="M970" s="13">
        <v>1500</v>
      </c>
      <c r="N970" s="13">
        <v>48</v>
      </c>
      <c r="O970" s="15"/>
      <c r="P970" s="6">
        <v>40589.519884259258</v>
      </c>
      <c r="Q970" s="12"/>
      <c r="R970" s="16" t="s">
        <v>3570</v>
      </c>
      <c r="S970" s="12"/>
      <c r="T970" s="12"/>
      <c r="U970" s="10" t="str">
        <f>HYPERLINK("https://pbs.twimg.com/profile_images/478162871772135425/htCx4P-z.jpeg","View")</f>
        <v>View</v>
      </c>
    </row>
    <row r="971" spans="1:21" ht="30.6">
      <c r="A971" s="6">
        <v>43425.092951388884</v>
      </c>
      <c r="B971" s="7" t="str">
        <f>HYPERLINK("https://twitter.com/FicuMR","@FicuMR")</f>
        <v>@FicuMR</v>
      </c>
      <c r="C971" s="8" t="s">
        <v>3571</v>
      </c>
      <c r="D971" s="9" t="s">
        <v>3572</v>
      </c>
      <c r="E971" s="10" t="str">
        <f>HYPERLINK("https://twitter.com/FicuMR/status/1065186522889097217","1065186522889097217")</f>
        <v>1065186522889097217</v>
      </c>
      <c r="F971" s="12"/>
      <c r="G971" s="11" t="s">
        <v>3573</v>
      </c>
      <c r="H971" s="12"/>
      <c r="I971" s="13">
        <v>0</v>
      </c>
      <c r="J971" s="13">
        <v>0</v>
      </c>
      <c r="K971" s="14" t="str">
        <f>HYPERLINK("http://twitter.com/download/iphone","Twitter for iPhone")</f>
        <v>Twitter for iPhone</v>
      </c>
      <c r="L971" s="13">
        <v>304</v>
      </c>
      <c r="M971" s="13">
        <v>320</v>
      </c>
      <c r="N971" s="13">
        <v>10</v>
      </c>
      <c r="O971" s="15"/>
      <c r="P971" s="6">
        <v>41748.644525462965</v>
      </c>
      <c r="Q971" s="17" t="s">
        <v>2270</v>
      </c>
      <c r="R971" s="16" t="s">
        <v>3574</v>
      </c>
      <c r="S971" s="12"/>
      <c r="T971" s="12"/>
      <c r="U971" s="10" t="str">
        <f>HYPERLINK("https://pbs.twimg.com/profile_images/851860627534618624/wg8uR01t.jpg","View")</f>
        <v>View</v>
      </c>
    </row>
    <row r="972" spans="1:21" ht="40.799999999999997">
      <c r="A972" s="6">
        <v>43425.092094907406</v>
      </c>
      <c r="B972" s="7" t="str">
        <f>HYPERLINK("https://twitter.com/CarmenPr81","@CarmenPr81")</f>
        <v>@CarmenPr81</v>
      </c>
      <c r="C972" s="8" t="s">
        <v>3575</v>
      </c>
      <c r="D972" s="9" t="s">
        <v>3576</v>
      </c>
      <c r="E972" s="10" t="str">
        <f>HYPERLINK("https://twitter.com/CarmenPr81/status/1065186210518315008","1065186210518315008")</f>
        <v>1065186210518315008</v>
      </c>
      <c r="F972" s="11" t="s">
        <v>3577</v>
      </c>
      <c r="G972" s="12"/>
      <c r="H972" s="12"/>
      <c r="I972" s="13">
        <v>0</v>
      </c>
      <c r="J972" s="13">
        <v>0</v>
      </c>
      <c r="K972" s="14" t="str">
        <f>HYPERLINK("https://ifttt.com","IFTTT")</f>
        <v>IFTTT</v>
      </c>
      <c r="L972" s="13">
        <v>4074</v>
      </c>
      <c r="M972" s="13">
        <v>3582</v>
      </c>
      <c r="N972" s="13">
        <v>350</v>
      </c>
      <c r="O972" s="15"/>
      <c r="P972" s="6">
        <v>41002.422662037039</v>
      </c>
      <c r="Q972" s="17" t="s">
        <v>3578</v>
      </c>
      <c r="R972" s="16" t="s">
        <v>3579</v>
      </c>
      <c r="S972" s="11" t="s">
        <v>3580</v>
      </c>
      <c r="T972" s="12"/>
      <c r="U972" s="10" t="str">
        <f>HYPERLINK("https://pbs.twimg.com/profile_images/1060626153633914880/0X_cQnho.jpg","View")</f>
        <v>View</v>
      </c>
    </row>
    <row r="973" spans="1:21" ht="30.6">
      <c r="A973" s="6">
        <v>43425.089409722219</v>
      </c>
      <c r="B973" s="7" t="str">
        <f>HYPERLINK("https://twitter.com/SalinasQuevedo","@SalinasQuevedo")</f>
        <v>@SalinasQuevedo</v>
      </c>
      <c r="C973" s="8" t="s">
        <v>3581</v>
      </c>
      <c r="D973" s="9" t="s">
        <v>3582</v>
      </c>
      <c r="E973" s="10" t="str">
        <f>HYPERLINK("https://twitter.com/SalinasQuevedo/status/1065185236844191744","1065185236844191744")</f>
        <v>1065185236844191744</v>
      </c>
      <c r="F973" s="11" t="s">
        <v>3583</v>
      </c>
      <c r="G973" s="12"/>
      <c r="H973" s="12"/>
      <c r="I973" s="13">
        <v>0</v>
      </c>
      <c r="J973" s="13">
        <v>0</v>
      </c>
      <c r="K973" s="14" t="str">
        <f t="shared" ref="K973:K975" si="183">HYPERLINK("http://twitter.com","Twitter Web Client")</f>
        <v>Twitter Web Client</v>
      </c>
      <c r="L973" s="13">
        <v>506</v>
      </c>
      <c r="M973" s="13">
        <v>422</v>
      </c>
      <c r="N973" s="13">
        <v>11</v>
      </c>
      <c r="O973" s="15"/>
      <c r="P973" s="6">
        <v>40998.542986111112</v>
      </c>
      <c r="Q973" s="17" t="s">
        <v>26</v>
      </c>
      <c r="R973" s="16" t="s">
        <v>3584</v>
      </c>
      <c r="S973" s="12"/>
      <c r="T973" s="12"/>
      <c r="U973" s="10" t="str">
        <f>HYPERLINK("https://pbs.twimg.com/profile_images/1008739591371874304/NU86mDR5.jpg","View")</f>
        <v>View</v>
      </c>
    </row>
    <row r="974" spans="1:21" ht="40.799999999999997">
      <c r="A974" s="6">
        <v>43425.086886574078</v>
      </c>
      <c r="B974" s="7" t="str">
        <f>HYPERLINK("https://twitter.com/LaTribunadelPV","@LaTribunadelPV")</f>
        <v>@LaTribunadelPV</v>
      </c>
      <c r="C974" s="8" t="s">
        <v>3585</v>
      </c>
      <c r="D974" s="9" t="s">
        <v>3586</v>
      </c>
      <c r="E974" s="10" t="str">
        <f>HYPERLINK("https://twitter.com/LaTribunadelPV/status/1065184321777078272","1065184321777078272")</f>
        <v>1065184321777078272</v>
      </c>
      <c r="F974" s="11" t="s">
        <v>3109</v>
      </c>
      <c r="G974" s="11" t="s">
        <v>3587</v>
      </c>
      <c r="H974" s="12"/>
      <c r="I974" s="13">
        <v>1</v>
      </c>
      <c r="J974" s="13">
        <v>0</v>
      </c>
      <c r="K974" s="14" t="str">
        <f t="shared" si="183"/>
        <v>Twitter Web Client</v>
      </c>
      <c r="L974" s="13">
        <v>1425</v>
      </c>
      <c r="M974" s="13">
        <v>234</v>
      </c>
      <c r="N974" s="13">
        <v>65</v>
      </c>
      <c r="O974" s="15"/>
      <c r="P974" s="6">
        <v>41575.112442129626</v>
      </c>
      <c r="Q974" s="17" t="s">
        <v>3588</v>
      </c>
      <c r="R974" s="16" t="s">
        <v>3589</v>
      </c>
      <c r="S974" s="11" t="s">
        <v>3590</v>
      </c>
      <c r="T974" s="12"/>
      <c r="U974" s="10" t="str">
        <f>HYPERLINK("https://pbs.twimg.com/profile_images/465150573017178113/OjEHIbqm.jpeg","View")</f>
        <v>View</v>
      </c>
    </row>
    <row r="975" spans="1:21" ht="51">
      <c r="A975" s="6">
        <v>43425.08657407407</v>
      </c>
      <c r="B975" s="7" t="str">
        <f>HYPERLINK("https://twitter.com/IgnacioPareja","@IgnacioPareja")</f>
        <v>@IgnacioPareja</v>
      </c>
      <c r="C975" s="8" t="s">
        <v>3591</v>
      </c>
      <c r="D975" s="9" t="s">
        <v>3592</v>
      </c>
      <c r="E975" s="10" t="str">
        <f>HYPERLINK("https://twitter.com/IgnacioPareja/status/1065184211932454912","1065184211932454912")</f>
        <v>1065184211932454912</v>
      </c>
      <c r="F975" s="12"/>
      <c r="G975" s="12"/>
      <c r="H975" s="12"/>
      <c r="I975" s="13">
        <v>2</v>
      </c>
      <c r="J975" s="13">
        <v>4</v>
      </c>
      <c r="K975" s="14" t="str">
        <f t="shared" si="183"/>
        <v>Twitter Web Client</v>
      </c>
      <c r="L975" s="13">
        <v>656</v>
      </c>
      <c r="M975" s="13">
        <v>688</v>
      </c>
      <c r="N975" s="13">
        <v>0</v>
      </c>
      <c r="O975" s="15"/>
      <c r="P975" s="6">
        <v>43321.327627314815</v>
      </c>
      <c r="Q975" s="17" t="s">
        <v>268</v>
      </c>
      <c r="R975" s="16" t="s">
        <v>3593</v>
      </c>
      <c r="S975" s="12"/>
      <c r="T975" s="12"/>
      <c r="U975" s="10" t="str">
        <f>HYPERLINK("https://pbs.twimg.com/profile_images/1050791650157572097/xpZ2-jtU.jpg","View")</f>
        <v>View</v>
      </c>
    </row>
    <row r="976" spans="1:21" ht="51">
      <c r="A976" s="6">
        <v>43425.085648148146</v>
      </c>
      <c r="B976" s="7" t="str">
        <f>HYPERLINK("https://twitter.com/antojimeno","@antojimeno")</f>
        <v>@antojimeno</v>
      </c>
      <c r="C976" s="8" t="s">
        <v>3594</v>
      </c>
      <c r="D976" s="9" t="s">
        <v>3595</v>
      </c>
      <c r="E976" s="10" t="str">
        <f>HYPERLINK("https://twitter.com/antojimeno/status/1065183875582894080","1065183875582894080")</f>
        <v>1065183875582894080</v>
      </c>
      <c r="F976" s="12"/>
      <c r="G976" s="12"/>
      <c r="H976" s="12"/>
      <c r="I976" s="13">
        <v>0</v>
      </c>
      <c r="J976" s="13">
        <v>1</v>
      </c>
      <c r="K976" s="14" t="str">
        <f>HYPERLINK("http://twitter.com/download/android","Twitter for Android")</f>
        <v>Twitter for Android</v>
      </c>
      <c r="L976" s="13">
        <v>146</v>
      </c>
      <c r="M976" s="13">
        <v>227</v>
      </c>
      <c r="N976" s="13">
        <v>0</v>
      </c>
      <c r="O976" s="15"/>
      <c r="P976" s="6">
        <v>41224.219189814816</v>
      </c>
      <c r="Q976" s="17" t="s">
        <v>638</v>
      </c>
      <c r="R976" s="16" t="s">
        <v>3596</v>
      </c>
      <c r="S976" s="11" t="s">
        <v>3597</v>
      </c>
      <c r="T976" s="12"/>
      <c r="U976" s="10" t="str">
        <f>HYPERLINK("https://pbs.twimg.com/profile_images/913697988874309632/IaH1oQIZ.jpg","View")</f>
        <v>View</v>
      </c>
    </row>
    <row r="977" spans="1:21" ht="30.6">
      <c r="A977" s="6">
        <v>43425.085162037038</v>
      </c>
      <c r="B977" s="7" t="str">
        <f>HYPERLINK("https://twitter.com/elCembra","@elCembra")</f>
        <v>@elCembra</v>
      </c>
      <c r="C977" s="8" t="s">
        <v>3598</v>
      </c>
      <c r="D977" s="9" t="s">
        <v>3599</v>
      </c>
      <c r="E977" s="10" t="str">
        <f>HYPERLINK("https://twitter.com/elCembra/status/1065183698868494337","1065183698868494337")</f>
        <v>1065183698868494337</v>
      </c>
      <c r="F977" s="12"/>
      <c r="G977" s="12"/>
      <c r="H977" s="12"/>
      <c r="I977" s="13">
        <v>0</v>
      </c>
      <c r="J977" s="13">
        <v>0</v>
      </c>
      <c r="K977" s="14" t="str">
        <f>HYPERLINK("http://twitter.com/download/iphone","Twitter for iPhone")</f>
        <v>Twitter for iPhone</v>
      </c>
      <c r="L977" s="13">
        <v>296</v>
      </c>
      <c r="M977" s="13">
        <v>527</v>
      </c>
      <c r="N977" s="13">
        <v>6</v>
      </c>
      <c r="O977" s="15"/>
      <c r="P977" s="6">
        <v>40519.156180555554</v>
      </c>
      <c r="Q977" s="12"/>
      <c r="R977" s="16" t="s">
        <v>3600</v>
      </c>
      <c r="S977" s="12"/>
      <c r="T977" s="12"/>
      <c r="U977" s="10" t="str">
        <f>HYPERLINK("https://pbs.twimg.com/profile_images/3697909347/475fa001993a5d2fffdbb2835b561739.jpeg","View")</f>
        <v>View</v>
      </c>
    </row>
    <row r="978" spans="1:21" ht="51">
      <c r="A978" s="6">
        <v>43425.081250000003</v>
      </c>
      <c r="B978" s="7" t="str">
        <f>HYPERLINK("https://twitter.com/ZULU_AG","@ZULU_AG")</f>
        <v>@ZULU_AG</v>
      </c>
      <c r="C978" s="8" t="s">
        <v>3601</v>
      </c>
      <c r="D978" s="9" t="s">
        <v>3602</v>
      </c>
      <c r="E978" s="10" t="str">
        <f>HYPERLINK("https://twitter.com/ZULU_AG/status/1065182280434544640","1065182280434544640")</f>
        <v>1065182280434544640</v>
      </c>
      <c r="F978" s="11" t="s">
        <v>3603</v>
      </c>
      <c r="G978" s="12"/>
      <c r="H978" s="12"/>
      <c r="I978" s="13">
        <v>0</v>
      </c>
      <c r="J978" s="13">
        <v>0</v>
      </c>
      <c r="K978" s="14" t="str">
        <f>HYPERLINK("http://twitter.com","Twitter Web Client")</f>
        <v>Twitter Web Client</v>
      </c>
      <c r="L978" s="13">
        <v>4997</v>
      </c>
      <c r="M978" s="13">
        <v>4761</v>
      </c>
      <c r="N978" s="13">
        <v>53</v>
      </c>
      <c r="O978" s="15"/>
      <c r="P978" s="6">
        <v>42124.362615740742</v>
      </c>
      <c r="Q978" s="12"/>
      <c r="R978" s="18"/>
      <c r="S978" s="12"/>
      <c r="T978" s="12"/>
      <c r="U978" s="10" t="str">
        <f>HYPERLINK("https://pbs.twimg.com/profile_images/846088861696606208/ykGsp2oK.jpg","View")</f>
        <v>View</v>
      </c>
    </row>
    <row r="979" spans="1:21" ht="13.2">
      <c r="A979" s="6">
        <v>43425.081030092595</v>
      </c>
      <c r="B979" s="7" t="str">
        <f>HYPERLINK("https://twitter.com/fromerod","@fromerod")</f>
        <v>@fromerod</v>
      </c>
      <c r="C979" s="8" t="s">
        <v>3604</v>
      </c>
      <c r="D979" s="9" t="s">
        <v>3605</v>
      </c>
      <c r="E979" s="10" t="str">
        <f>HYPERLINK("https://twitter.com/fromerod/status/1065182199224381440","1065182199224381440")</f>
        <v>1065182199224381440</v>
      </c>
      <c r="F979" s="11" t="s">
        <v>246</v>
      </c>
      <c r="G979" s="12"/>
      <c r="H979" s="12"/>
      <c r="I979" s="13">
        <v>9</v>
      </c>
      <c r="J979" s="13">
        <v>1</v>
      </c>
      <c r="K979" s="14" t="str">
        <f t="shared" ref="K979:K981" si="184">HYPERLINK("http://twitter.com/download/android","Twitter for Android")</f>
        <v>Twitter for Android</v>
      </c>
      <c r="L979" s="13">
        <v>2807</v>
      </c>
      <c r="M979" s="13">
        <v>981</v>
      </c>
      <c r="N979" s="13">
        <v>54</v>
      </c>
      <c r="O979" s="15"/>
      <c r="P979" s="6">
        <v>39936.405624999999</v>
      </c>
      <c r="Q979" s="17" t="s">
        <v>3606</v>
      </c>
      <c r="R979" s="16" t="s">
        <v>3607</v>
      </c>
      <c r="S979" s="11" t="s">
        <v>3608</v>
      </c>
      <c r="T979" s="12"/>
      <c r="U979" s="10" t="str">
        <f>HYPERLINK("https://pbs.twimg.com/profile_images/1056921890718126084/8VD4uexx.jpg","View")</f>
        <v>View</v>
      </c>
    </row>
    <row r="980" spans="1:21" ht="30.6">
      <c r="A980" s="6">
        <v>43425.080682870372</v>
      </c>
      <c r="B980" s="7" t="str">
        <f>HYPERLINK("https://twitter.com/borjapuigaguirr","@borjapuigaguirr")</f>
        <v>@borjapuigaguirr</v>
      </c>
      <c r="C980" s="8" t="s">
        <v>3609</v>
      </c>
      <c r="D980" s="9" t="s">
        <v>3610</v>
      </c>
      <c r="E980" s="10" t="str">
        <f>HYPERLINK("https://twitter.com/borjapuigaguirr/status/1065182074729046016","1065182074729046016")</f>
        <v>1065182074729046016</v>
      </c>
      <c r="F980" s="11" t="s">
        <v>3611</v>
      </c>
      <c r="G980" s="12"/>
      <c r="H980" s="12"/>
      <c r="I980" s="13">
        <v>0</v>
      </c>
      <c r="J980" s="13">
        <v>0</v>
      </c>
      <c r="K980" s="14" t="str">
        <f t="shared" si="184"/>
        <v>Twitter for Android</v>
      </c>
      <c r="L980" s="13">
        <v>776</v>
      </c>
      <c r="M980" s="13">
        <v>636</v>
      </c>
      <c r="N980" s="13">
        <v>21</v>
      </c>
      <c r="O980" s="15"/>
      <c r="P980" s="6">
        <v>40612.157835648148</v>
      </c>
      <c r="Q980" s="17" t="s">
        <v>29</v>
      </c>
      <c r="R980" s="16" t="s">
        <v>3612</v>
      </c>
      <c r="S980" s="12"/>
      <c r="T980" s="12"/>
      <c r="U980" s="10" t="str">
        <f>HYPERLINK("https://pbs.twimg.com/profile_images/1267748331/borja_cubo_baja.jpg","View")</f>
        <v>View</v>
      </c>
    </row>
    <row r="981" spans="1:21" ht="61.2">
      <c r="A981" s="6">
        <v>43425.079421296294</v>
      </c>
      <c r="B981" s="7" t="str">
        <f>HYPERLINK("https://twitter.com/Potablava13","@Potablava13")</f>
        <v>@Potablava13</v>
      </c>
      <c r="C981" s="8" t="s">
        <v>3613</v>
      </c>
      <c r="D981" s="9" t="s">
        <v>3614</v>
      </c>
      <c r="E981" s="10" t="str">
        <f>HYPERLINK("https://twitter.com/Potablava13/status/1065181619571630081","1065181619571630081")</f>
        <v>1065181619571630081</v>
      </c>
      <c r="F981" s="17" t="s">
        <v>3615</v>
      </c>
      <c r="G981" s="12"/>
      <c r="H981" s="12"/>
      <c r="I981" s="13">
        <v>0</v>
      </c>
      <c r="J981" s="13">
        <v>0</v>
      </c>
      <c r="K981" s="14" t="str">
        <f t="shared" si="184"/>
        <v>Twitter for Android</v>
      </c>
      <c r="L981" s="13">
        <v>405</v>
      </c>
      <c r="M981" s="13">
        <v>529</v>
      </c>
      <c r="N981" s="13">
        <v>7</v>
      </c>
      <c r="O981" s="15"/>
      <c r="P981" s="6">
        <v>40385.501817129625</v>
      </c>
      <c r="Q981" s="17" t="s">
        <v>3616</v>
      </c>
      <c r="R981" s="16" t="s">
        <v>3617</v>
      </c>
      <c r="S981" s="11" t="s">
        <v>3618</v>
      </c>
      <c r="T981" s="12"/>
      <c r="U981" s="10" t="str">
        <f>HYPERLINK("https://pbs.twimg.com/profile_images/1056671718905929729/gL1I47pD.jpg","View")</f>
        <v>View</v>
      </c>
    </row>
    <row r="982" spans="1:21" ht="51">
      <c r="A982" s="6">
        <v>43425.076412037037</v>
      </c>
      <c r="B982" s="7" t="str">
        <f>HYPERLINK("https://twitter.com/Phoebe_Buffay11","@Phoebe_Buffay11")</f>
        <v>@Phoebe_Buffay11</v>
      </c>
      <c r="C982" s="8" t="s">
        <v>3619</v>
      </c>
      <c r="D982" s="9" t="s">
        <v>3620</v>
      </c>
      <c r="E982" s="10" t="str">
        <f>HYPERLINK("https://twitter.com/Phoebe_Buffay11/status/1065180525667786752","1065180525667786752")</f>
        <v>1065180525667786752</v>
      </c>
      <c r="F982" s="12"/>
      <c r="G982" s="12"/>
      <c r="H982" s="12"/>
      <c r="I982" s="13">
        <v>0</v>
      </c>
      <c r="J982" s="13">
        <v>2</v>
      </c>
      <c r="K982" s="14" t="str">
        <f>HYPERLINK("http://twitter.com/download/iphone","Twitter for iPhone")</f>
        <v>Twitter for iPhone</v>
      </c>
      <c r="L982" s="13">
        <v>482</v>
      </c>
      <c r="M982" s="13">
        <v>847</v>
      </c>
      <c r="N982" s="13">
        <v>7</v>
      </c>
      <c r="O982" s="15"/>
      <c r="P982" s="6">
        <v>42516.549710648149</v>
      </c>
      <c r="Q982" s="12"/>
      <c r="R982" s="16" t="s">
        <v>3621</v>
      </c>
      <c r="S982" s="12"/>
      <c r="T982" s="12"/>
      <c r="U982" s="10" t="str">
        <f>HYPERLINK("https://pbs.twimg.com/profile_images/786476214630359040/IBkfWIUT.jpg","View")</f>
        <v>View</v>
      </c>
    </row>
    <row r="983" spans="1:21" ht="51">
      <c r="A983" s="6">
        <v>43425.076284722221</v>
      </c>
      <c r="B983" s="7" t="str">
        <f>HYPERLINK("https://twitter.com/PPTijola","@PPTijola")</f>
        <v>@PPTijola</v>
      </c>
      <c r="C983" s="8" t="s">
        <v>3622</v>
      </c>
      <c r="D983" s="9" t="s">
        <v>3623</v>
      </c>
      <c r="E983" s="10" t="str">
        <f>HYPERLINK("https://twitter.com/PPTijola/status/1065180481803702272","1065180481803702272")</f>
        <v>1065180481803702272</v>
      </c>
      <c r="F983" s="11" t="s">
        <v>3624</v>
      </c>
      <c r="G983" s="12"/>
      <c r="H983" s="12"/>
      <c r="I983" s="13">
        <v>0</v>
      </c>
      <c r="J983" s="13">
        <v>0</v>
      </c>
      <c r="K983" s="14" t="str">
        <f>HYPERLINK("http://www.facebook.com/twitter","Facebook")</f>
        <v>Facebook</v>
      </c>
      <c r="L983" s="13">
        <v>788</v>
      </c>
      <c r="M983" s="13">
        <v>1378</v>
      </c>
      <c r="N983" s="13">
        <v>4</v>
      </c>
      <c r="O983" s="15"/>
      <c r="P983" s="6">
        <v>41876.411585648151</v>
      </c>
      <c r="Q983" s="17" t="s">
        <v>3625</v>
      </c>
      <c r="R983" s="16" t="s">
        <v>3626</v>
      </c>
      <c r="S983" s="11" t="s">
        <v>3627</v>
      </c>
      <c r="T983" s="12"/>
      <c r="U983" s="10" t="str">
        <f>HYPERLINK("https://pbs.twimg.com/profile_images/753867945755959296/8Hoy-Pb4.jpg","View")</f>
        <v>View</v>
      </c>
    </row>
    <row r="984" spans="1:21" ht="20.399999999999999">
      <c r="A984" s="6">
        <v>43425.075416666667</v>
      </c>
      <c r="B984" s="7" t="str">
        <f>HYPERLINK("https://twitter.com/diegocruzblog","@diegocruzblog")</f>
        <v>@diegocruzblog</v>
      </c>
      <c r="C984" s="8" t="s">
        <v>586</v>
      </c>
      <c r="D984" s="9" t="s">
        <v>3628</v>
      </c>
      <c r="E984" s="10" t="str">
        <f>HYPERLINK("https://twitter.com/diegocruzblog/status/1065180166136180736","1065180166136180736")</f>
        <v>1065180166136180736</v>
      </c>
      <c r="F984" s="11" t="s">
        <v>246</v>
      </c>
      <c r="G984" s="12"/>
      <c r="H984" s="12"/>
      <c r="I984" s="13">
        <v>0</v>
      </c>
      <c r="J984" s="13">
        <v>1</v>
      </c>
      <c r="K984" s="14" t="str">
        <f>HYPERLINK("http://twitter.com/download/android","Twitter for Android")</f>
        <v>Twitter for Android</v>
      </c>
      <c r="L984" s="13">
        <v>24176</v>
      </c>
      <c r="M984" s="13">
        <v>22088</v>
      </c>
      <c r="N984" s="13">
        <v>538</v>
      </c>
      <c r="O984" s="15"/>
      <c r="P984" s="6">
        <v>39465.045439814814</v>
      </c>
      <c r="Q984" s="17" t="s">
        <v>589</v>
      </c>
      <c r="R984" s="16" t="s">
        <v>590</v>
      </c>
      <c r="S984" s="11" t="s">
        <v>591</v>
      </c>
      <c r="T984" s="12"/>
      <c r="U984" s="10" t="str">
        <f>HYPERLINK("https://pbs.twimg.com/profile_images/957406979936448513/tF4hyXi5.jpg","View")</f>
        <v>View</v>
      </c>
    </row>
    <row r="985" spans="1:21" ht="20.399999999999999">
      <c r="A985" s="6">
        <v>43425.074733796297</v>
      </c>
      <c r="B985" s="7" t="str">
        <f>HYPERLINK("https://twitter.com/EdulisTino","@EdulisTino")</f>
        <v>@EdulisTino</v>
      </c>
      <c r="C985" s="8" t="s">
        <v>3629</v>
      </c>
      <c r="D985" s="9" t="s">
        <v>3630</v>
      </c>
      <c r="E985" s="10" t="str">
        <f>HYPERLINK("https://twitter.com/EdulisTino/status/1065179917833437186","1065179917833437186")</f>
        <v>1065179917833437186</v>
      </c>
      <c r="F985" s="11" t="s">
        <v>3263</v>
      </c>
      <c r="G985" s="12"/>
      <c r="H985" s="12"/>
      <c r="I985" s="13">
        <v>0</v>
      </c>
      <c r="J985" s="13">
        <v>0</v>
      </c>
      <c r="K985" s="14" t="str">
        <f>HYPERLINK("http://www.facebook.com/twitter","Facebook")</f>
        <v>Facebook</v>
      </c>
      <c r="L985" s="13">
        <v>17</v>
      </c>
      <c r="M985" s="13">
        <v>22</v>
      </c>
      <c r="N985" s="13">
        <v>6</v>
      </c>
      <c r="O985" s="15"/>
      <c r="P985" s="6">
        <v>41101.503541666665</v>
      </c>
      <c r="Q985" s="12"/>
      <c r="R985" s="18"/>
      <c r="S985" s="12"/>
      <c r="T985" s="12"/>
      <c r="U985" s="10" t="str">
        <f>HYPERLINK("https://pbs.twimg.com/profile_images/760028934713053184/onsploO9.jpg","View")</f>
        <v>View</v>
      </c>
    </row>
    <row r="986" spans="1:21" ht="30.6">
      <c r="A986" s="6">
        <v>43425.072951388887</v>
      </c>
      <c r="B986" s="7" t="str">
        <f>HYPERLINK("https://twitter.com/poyabanda","@poyabanda")</f>
        <v>@poyabanda</v>
      </c>
      <c r="C986" s="8" t="s">
        <v>3631</v>
      </c>
      <c r="D986" s="9" t="s">
        <v>3632</v>
      </c>
      <c r="E986" s="10" t="str">
        <f>HYPERLINK("https://twitter.com/poyabanda/status/1065179274519425025","1065179274519425025")</f>
        <v>1065179274519425025</v>
      </c>
      <c r="F986" s="11" t="s">
        <v>3633</v>
      </c>
      <c r="G986" s="12"/>
      <c r="H986" s="12"/>
      <c r="I986" s="13">
        <v>0</v>
      </c>
      <c r="J986" s="13">
        <v>0</v>
      </c>
      <c r="K986" s="14" t="str">
        <f t="shared" ref="K986:K987" si="185">HYPERLINK("http://twitter.com/download/android","Twitter for Android")</f>
        <v>Twitter for Android</v>
      </c>
      <c r="L986" s="13">
        <v>316</v>
      </c>
      <c r="M986" s="13">
        <v>882</v>
      </c>
      <c r="N986" s="13">
        <v>0</v>
      </c>
      <c r="O986" s="15"/>
      <c r="P986" s="6">
        <v>43037.676041666666</v>
      </c>
      <c r="Q986" s="17" t="s">
        <v>550</v>
      </c>
      <c r="R986" s="16" t="s">
        <v>3634</v>
      </c>
      <c r="S986" s="12"/>
      <c r="T986" s="12"/>
      <c r="U986" s="10" t="str">
        <f>HYPERLINK("https://pbs.twimg.com/profile_images/924781447755464705/QN-BJcx0.jpg","View")</f>
        <v>View</v>
      </c>
    </row>
    <row r="987" spans="1:21" ht="30.6">
      <c r="A987" s="6">
        <v>43425.071400462963</v>
      </c>
      <c r="B987" s="7" t="str">
        <f>HYPERLINK("https://twitter.com/ReiniciaCat","@ReiniciaCat")</f>
        <v>@ReiniciaCat</v>
      </c>
      <c r="C987" s="8" t="s">
        <v>3635</v>
      </c>
      <c r="D987" s="9" t="s">
        <v>3636</v>
      </c>
      <c r="E987" s="10" t="str">
        <f>HYPERLINK("https://twitter.com/ReiniciaCat/status/1065178709731278849","1065178709731278849")</f>
        <v>1065178709731278849</v>
      </c>
      <c r="F987" s="11" t="s">
        <v>3637</v>
      </c>
      <c r="G987" s="12"/>
      <c r="H987" s="12"/>
      <c r="I987" s="13">
        <v>0</v>
      </c>
      <c r="J987" s="13">
        <v>0</v>
      </c>
      <c r="K987" s="14" t="str">
        <f t="shared" si="185"/>
        <v>Twitter for Android</v>
      </c>
      <c r="L987" s="13">
        <v>6919</v>
      </c>
      <c r="M987" s="13">
        <v>1434</v>
      </c>
      <c r="N987" s="13">
        <v>80</v>
      </c>
      <c r="O987" s="15"/>
      <c r="P987" s="6">
        <v>42098.156087962961</v>
      </c>
      <c r="Q987" s="12"/>
      <c r="R987" s="16" t="s">
        <v>3638</v>
      </c>
      <c r="S987" s="11" t="s">
        <v>3639</v>
      </c>
      <c r="T987" s="12"/>
      <c r="U987" s="10" t="str">
        <f>HYPERLINK("https://pbs.twimg.com/profile_images/603139635221372928/Hfuio1_D.png","View")</f>
        <v>View</v>
      </c>
    </row>
    <row r="988" spans="1:21" ht="20.399999999999999">
      <c r="A988" s="6">
        <v>43425.070787037039</v>
      </c>
      <c r="B988" s="7" t="str">
        <f>HYPERLINK("https://twitter.com/EPAndalucia","@EPAndalucia")</f>
        <v>@EPAndalucia</v>
      </c>
      <c r="C988" s="8" t="s">
        <v>3640</v>
      </c>
      <c r="D988" s="9" t="s">
        <v>3641</v>
      </c>
      <c r="E988" s="10" t="str">
        <f>HYPERLINK("https://twitter.com/EPAndalucia/status/1065178489203101696","1065178489203101696")</f>
        <v>1065178489203101696</v>
      </c>
      <c r="F988" s="11" t="s">
        <v>3642</v>
      </c>
      <c r="G988" s="12"/>
      <c r="H988" s="12"/>
      <c r="I988" s="13">
        <v>2</v>
      </c>
      <c r="J988" s="13">
        <v>1</v>
      </c>
      <c r="K988" s="14" t="str">
        <f>HYPERLINK("http://www.europapress.es/andalucia","Twitter editor Andalucia")</f>
        <v>Twitter editor Andalucia</v>
      </c>
      <c r="L988" s="13">
        <v>37380</v>
      </c>
      <c r="M988" s="13">
        <v>1177</v>
      </c>
      <c r="N988" s="13">
        <v>855</v>
      </c>
      <c r="O988" s="15"/>
      <c r="P988" s="6">
        <v>40540.369988425926</v>
      </c>
      <c r="Q988" s="17" t="s">
        <v>264</v>
      </c>
      <c r="R988" s="16" t="s">
        <v>3643</v>
      </c>
      <c r="S988" s="11" t="s">
        <v>3644</v>
      </c>
      <c r="T988" s="12"/>
      <c r="U988" s="10" t="str">
        <f>HYPERLINK("https://pbs.twimg.com/profile_images/876784913466503168/u7k3N7mS.jpg","View")</f>
        <v>View</v>
      </c>
    </row>
    <row r="989" spans="1:21" ht="20.399999999999999">
      <c r="A989" s="6">
        <v>43425.06962962963</v>
      </c>
      <c r="B989" s="7" t="str">
        <f>HYPERLINK("https://twitter.com/agcalderon1508","@agcalderon1508")</f>
        <v>@agcalderon1508</v>
      </c>
      <c r="C989" s="8" t="s">
        <v>3645</v>
      </c>
      <c r="D989" s="9" t="s">
        <v>1940</v>
      </c>
      <c r="E989" s="10" t="str">
        <f>HYPERLINK("https://twitter.com/agcalderon1508/status/1065178070930399233","1065178070930399233")</f>
        <v>1065178070930399233</v>
      </c>
      <c r="F989" s="11" t="s">
        <v>1941</v>
      </c>
      <c r="G989" s="12"/>
      <c r="H989" s="12"/>
      <c r="I989" s="13">
        <v>0</v>
      </c>
      <c r="J989" s="13">
        <v>0</v>
      </c>
      <c r="K989" s="14" t="str">
        <f t="shared" ref="K989:K990" si="186">HYPERLINK("http://www.facebook.com/twitter","Facebook")</f>
        <v>Facebook</v>
      </c>
      <c r="L989" s="13">
        <v>683</v>
      </c>
      <c r="M989" s="13">
        <v>970</v>
      </c>
      <c r="N989" s="13">
        <v>13</v>
      </c>
      <c r="O989" s="15"/>
      <c r="P989" s="6">
        <v>40920.571261574078</v>
      </c>
      <c r="Q989" s="17" t="s">
        <v>3646</v>
      </c>
      <c r="R989" s="16" t="s">
        <v>3647</v>
      </c>
      <c r="S989" s="12"/>
      <c r="T989" s="12"/>
      <c r="U989" s="10" t="str">
        <f>HYPERLINK("https://pbs.twimg.com/profile_images/514115377035751424/8960fvRK.jpeg","View")</f>
        <v>View</v>
      </c>
    </row>
    <row r="990" spans="1:21" ht="91.8">
      <c r="A990" s="6">
        <v>43425.069293981476</v>
      </c>
      <c r="B990" s="7" t="str">
        <f>HYPERLINK("https://twitter.com/Arthegarn","@Arthegarn")</f>
        <v>@Arthegarn</v>
      </c>
      <c r="C990" s="8" t="s">
        <v>3648</v>
      </c>
      <c r="D990" s="9" t="s">
        <v>3649</v>
      </c>
      <c r="E990" s="10" t="str">
        <f>HYPERLINK("https://twitter.com/Arthegarn/status/1065177948007948288","1065177948007948288")</f>
        <v>1065177948007948288</v>
      </c>
      <c r="F990" s="11" t="s">
        <v>2578</v>
      </c>
      <c r="G990" s="11" t="s">
        <v>2579</v>
      </c>
      <c r="H990" s="12"/>
      <c r="I990" s="13">
        <v>0</v>
      </c>
      <c r="J990" s="13">
        <v>1</v>
      </c>
      <c r="K990" s="14" t="str">
        <f t="shared" si="186"/>
        <v>Facebook</v>
      </c>
      <c r="L990" s="13">
        <v>127</v>
      </c>
      <c r="M990" s="13">
        <v>83</v>
      </c>
      <c r="N990" s="13">
        <v>3</v>
      </c>
      <c r="O990" s="15"/>
      <c r="P990" s="6">
        <v>40224.201782407406</v>
      </c>
      <c r="Q990" s="17" t="s">
        <v>26</v>
      </c>
      <c r="R990" s="18"/>
      <c r="S990" s="11" t="s">
        <v>3650</v>
      </c>
      <c r="T990" s="12"/>
      <c r="U990" s="10" t="str">
        <f>HYPERLINK("https://pbs.twimg.com/profile_images/898945890903363584/cf5gbMRQ.jpg","View")</f>
        <v>View</v>
      </c>
    </row>
    <row r="991" spans="1:21" ht="20.399999999999999">
      <c r="A991" s="6">
        <v>43425.067928240736</v>
      </c>
      <c r="B991" s="7" t="str">
        <f>HYPERLINK("https://twitter.com/elhuron2","@elhuron2")</f>
        <v>@elhuron2</v>
      </c>
      <c r="C991" s="8" t="s">
        <v>379</v>
      </c>
      <c r="D991" s="9" t="s">
        <v>3651</v>
      </c>
      <c r="E991" s="10" t="str">
        <f>HYPERLINK("https://twitter.com/elhuron2/status/1065177451779772417","1065177451779772417")</f>
        <v>1065177451779772417</v>
      </c>
      <c r="F991" s="11" t="s">
        <v>3652</v>
      </c>
      <c r="G991" s="12"/>
      <c r="H991" s="12"/>
      <c r="I991" s="13">
        <v>0</v>
      </c>
      <c r="J991" s="13">
        <v>0</v>
      </c>
      <c r="K991" s="14" t="str">
        <f>HYPERLINK("https://www.google.com/","Google")</f>
        <v>Google</v>
      </c>
      <c r="L991" s="13">
        <v>408</v>
      </c>
      <c r="M991" s="13">
        <v>496</v>
      </c>
      <c r="N991" s="13">
        <v>6</v>
      </c>
      <c r="O991" s="15"/>
      <c r="P991" s="6">
        <v>41869.577997685185</v>
      </c>
      <c r="Q991" s="17" t="s">
        <v>382</v>
      </c>
      <c r="R991" s="16" t="s">
        <v>383</v>
      </c>
      <c r="S991" s="11" t="s">
        <v>384</v>
      </c>
      <c r="T991" s="12"/>
      <c r="U991" s="10" t="str">
        <f>HYPERLINK("https://pbs.twimg.com/profile_images/803176150629515264/heYiZScX.jpg","View")</f>
        <v>View</v>
      </c>
    </row>
    <row r="992" spans="1:21" ht="30.6">
      <c r="A992" s="6">
        <v>43425.066736111112</v>
      </c>
      <c r="B992" s="7" t="str">
        <f>HYPERLINK("https://twitter.com/iuriamolero","@iuriamolero")</f>
        <v>@iuriamolero</v>
      </c>
      <c r="C992" s="8" t="s">
        <v>3654</v>
      </c>
      <c r="D992" s="9" t="s">
        <v>3655</v>
      </c>
      <c r="E992" s="10" t="str">
        <f>HYPERLINK("https://twitter.com/iuriamolero/status/1065177021494394880","1065177021494394880")</f>
        <v>1065177021494394880</v>
      </c>
      <c r="F992" s="12"/>
      <c r="G992" s="11" t="s">
        <v>3656</v>
      </c>
      <c r="H992" s="12"/>
      <c r="I992" s="13">
        <v>2</v>
      </c>
      <c r="J992" s="13">
        <v>7</v>
      </c>
      <c r="K992" s="14" t="str">
        <f>HYPERLINK("http://twitter.com/download/iphone","Twitter for iPhone")</f>
        <v>Twitter for iPhone</v>
      </c>
      <c r="L992" s="13">
        <v>3764</v>
      </c>
      <c r="M992" s="13">
        <v>764</v>
      </c>
      <c r="N992" s="13">
        <v>101</v>
      </c>
      <c r="O992" s="19" t="s">
        <v>74</v>
      </c>
      <c r="P992" s="6">
        <v>40522.075798611113</v>
      </c>
      <c r="Q992" s="17" t="s">
        <v>26</v>
      </c>
      <c r="R992" s="16" t="s">
        <v>3657</v>
      </c>
      <c r="S992" s="11" t="s">
        <v>3658</v>
      </c>
      <c r="T992" s="12"/>
      <c r="U992" s="10" t="str">
        <f>HYPERLINK("https://pbs.twimg.com/profile_images/1038167876375642112/vqVrh6Lx.jpg","View")</f>
        <v>View</v>
      </c>
    </row>
    <row r="993" spans="1:21" ht="20.399999999999999">
      <c r="A993" s="6">
        <v>43425.065682870365</v>
      </c>
      <c r="B993" s="7" t="str">
        <f>HYPERLINK("https://twitter.com/elhuron2","@elhuron2")</f>
        <v>@elhuron2</v>
      </c>
      <c r="C993" s="8" t="s">
        <v>379</v>
      </c>
      <c r="D993" s="9" t="s">
        <v>3659</v>
      </c>
      <c r="E993" s="10" t="str">
        <f>HYPERLINK("https://twitter.com/elhuron2/status/1065176638370009088","1065176638370009088")</f>
        <v>1065176638370009088</v>
      </c>
      <c r="F993" s="11" t="s">
        <v>3652</v>
      </c>
      <c r="G993" s="12"/>
      <c r="H993" s="12"/>
      <c r="I993" s="13">
        <v>0</v>
      </c>
      <c r="J993" s="13">
        <v>0</v>
      </c>
      <c r="K993" s="14" t="str">
        <f>HYPERLINK("https://www.google.com/","Google")</f>
        <v>Google</v>
      </c>
      <c r="L993" s="13">
        <v>408</v>
      </c>
      <c r="M993" s="13">
        <v>496</v>
      </c>
      <c r="N993" s="13">
        <v>6</v>
      </c>
      <c r="O993" s="15"/>
      <c r="P993" s="6">
        <v>41869.577997685185</v>
      </c>
      <c r="Q993" s="17" t="s">
        <v>382</v>
      </c>
      <c r="R993" s="16" t="s">
        <v>383</v>
      </c>
      <c r="S993" s="11" t="s">
        <v>384</v>
      </c>
      <c r="T993" s="12"/>
      <c r="U993" s="10" t="str">
        <f>HYPERLINK("https://pbs.twimg.com/profile_images/803176150629515264/heYiZScX.jpg","View")</f>
        <v>View</v>
      </c>
    </row>
    <row r="994" spans="1:21" ht="51">
      <c r="A994" s="6">
        <v>43425.064849537041</v>
      </c>
      <c r="B994" s="7" t="str">
        <f>HYPERLINK("https://twitter.com/AngelAlonso_30","@AngelAlonso_30")</f>
        <v>@AngelAlonso_30</v>
      </c>
      <c r="C994" s="8" t="s">
        <v>1783</v>
      </c>
      <c r="D994" s="9" t="s">
        <v>3660</v>
      </c>
      <c r="E994" s="10" t="str">
        <f>HYPERLINK("https://twitter.com/AngelAlonso_30/status/1065176338678599680","1065176338678599680")</f>
        <v>1065176338678599680</v>
      </c>
      <c r="F994" s="12"/>
      <c r="G994" s="12"/>
      <c r="H994" s="12"/>
      <c r="I994" s="13">
        <v>0</v>
      </c>
      <c r="J994" s="13">
        <v>1</v>
      </c>
      <c r="K994" s="14" t="str">
        <f>HYPERLINK("http://twitter.com/download/iphone","Twitter for iPhone")</f>
        <v>Twitter for iPhone</v>
      </c>
      <c r="L994" s="13">
        <v>1198</v>
      </c>
      <c r="M994" s="13">
        <v>1083</v>
      </c>
      <c r="N994" s="13">
        <v>19</v>
      </c>
      <c r="O994" s="15"/>
      <c r="P994" s="6">
        <v>41888.684710648144</v>
      </c>
      <c r="Q994" s="12"/>
      <c r="R994" s="16" t="s">
        <v>3661</v>
      </c>
      <c r="S994" s="12"/>
      <c r="T994" s="12"/>
      <c r="U994" s="10" t="str">
        <f>HYPERLINK("https://pbs.twimg.com/profile_images/1024220616600313856/GLikCEqZ.jpg","View")</f>
        <v>View</v>
      </c>
    </row>
    <row r="995" spans="1:21" ht="30.6">
      <c r="A995" s="6">
        <v>43425.061099537037</v>
      </c>
      <c r="B995" s="7" t="str">
        <f>HYPERLINK("https://twitter.com/vegetarihanno","@vegetarihanno")</f>
        <v>@vegetarihanno</v>
      </c>
      <c r="C995" s="8" t="s">
        <v>3662</v>
      </c>
      <c r="D995" s="9" t="s">
        <v>3663</v>
      </c>
      <c r="E995" s="10" t="str">
        <f>HYPERLINK("https://twitter.com/vegetarihanno/status/1065174976872046592","1065174976872046592")</f>
        <v>1065174976872046592</v>
      </c>
      <c r="F995" s="12"/>
      <c r="G995" s="11" t="s">
        <v>3664</v>
      </c>
      <c r="H995" s="12"/>
      <c r="I995" s="13">
        <v>2</v>
      </c>
      <c r="J995" s="13">
        <v>5</v>
      </c>
      <c r="K995" s="14" t="str">
        <f>HYPERLINK("http://twitter.com/#!/download/ipad","Twitter for iPad")</f>
        <v>Twitter for iPad</v>
      </c>
      <c r="L995" s="13">
        <v>576</v>
      </c>
      <c r="M995" s="13">
        <v>569</v>
      </c>
      <c r="N995" s="13">
        <v>22</v>
      </c>
      <c r="O995" s="15"/>
      <c r="P995" s="6">
        <v>42410.66606481481</v>
      </c>
      <c r="Q995" s="12"/>
      <c r="R995" s="16" t="s">
        <v>3665</v>
      </c>
      <c r="S995" s="12"/>
      <c r="T995" s="12"/>
      <c r="U995" s="10" t="str">
        <f>HYPERLINK("https://pbs.twimg.com/profile_images/994690980883451905/AsDnyykw.jpg","View")</f>
        <v>View</v>
      </c>
    </row>
    <row r="996" spans="1:21" ht="40.799999999999997">
      <c r="A996" s="6">
        <v>43425.058425925927</v>
      </c>
      <c r="B996" s="7" t="str">
        <f>HYPERLINK("https://twitter.com/Um7bjTw","@Um7bjTw")</f>
        <v>@Um7bjTw</v>
      </c>
      <c r="C996" s="8" t="s">
        <v>3666</v>
      </c>
      <c r="D996" s="9" t="s">
        <v>3667</v>
      </c>
      <c r="E996" s="10" t="str">
        <f>HYPERLINK("https://twitter.com/Um7bjTw/status/1065174011519262720","1065174011519262720")</f>
        <v>1065174011519262720</v>
      </c>
      <c r="F996" s="11" t="s">
        <v>3668</v>
      </c>
      <c r="G996" s="12"/>
      <c r="H996" s="12"/>
      <c r="I996" s="13">
        <v>0</v>
      </c>
      <c r="J996" s="13">
        <v>0</v>
      </c>
      <c r="K996" s="14" t="str">
        <f>HYPERLINK("https://www.google.com/","Google")</f>
        <v>Google</v>
      </c>
      <c r="L996" s="13">
        <v>802</v>
      </c>
      <c r="M996" s="13">
        <v>441</v>
      </c>
      <c r="N996" s="13">
        <v>7</v>
      </c>
      <c r="O996" s="15"/>
      <c r="P996" s="6">
        <v>42734.23572916667</v>
      </c>
      <c r="Q996" s="12"/>
      <c r="R996" s="16" t="s">
        <v>3669</v>
      </c>
      <c r="S996" s="11" t="s">
        <v>3670</v>
      </c>
      <c r="T996" s="12"/>
      <c r="U996" s="10" t="str">
        <f>HYPERLINK("https://pbs.twimg.com/profile_images/1062421967184318464/y4ANpBOM.jpg","View")</f>
        <v>View</v>
      </c>
    </row>
    <row r="997" spans="1:21" ht="91.8">
      <c r="A997" s="6">
        <v>43425.055081018523</v>
      </c>
      <c r="B997" s="7" t="str">
        <f>HYPERLINK("https://twitter.com/ate_cgt","@ate_cgt")</f>
        <v>@ate_cgt</v>
      </c>
      <c r="C997" s="8" t="s">
        <v>3671</v>
      </c>
      <c r="D997" s="9" t="s">
        <v>3672</v>
      </c>
      <c r="E997" s="10" t="str">
        <f>HYPERLINK("https://twitter.com/ate_cgt/status/1065172799436845058","1065172799436845058")</f>
        <v>1065172799436845058</v>
      </c>
      <c r="F997" s="17" t="s">
        <v>3673</v>
      </c>
      <c r="G997" s="12"/>
      <c r="H997" s="12"/>
      <c r="I997" s="13">
        <v>0</v>
      </c>
      <c r="J997" s="13">
        <v>0</v>
      </c>
      <c r="K997" s="14" t="str">
        <f>HYPERLINK("http://twitter.com","Twitter Web Client")</f>
        <v>Twitter Web Client</v>
      </c>
      <c r="L997" s="13">
        <v>29</v>
      </c>
      <c r="M997" s="13">
        <v>114</v>
      </c>
      <c r="N997" s="13">
        <v>3</v>
      </c>
      <c r="O997" s="15"/>
      <c r="P997" s="6">
        <v>43074.188159722224</v>
      </c>
      <c r="Q997" s="12"/>
      <c r="R997" s="18"/>
      <c r="S997" s="12"/>
      <c r="T997" s="12"/>
      <c r="U997" s="10" t="str">
        <f>HYPERLINK("https://pbs.twimg.com/profile_images/938168170698956800/AXm1nipw.jpg","View")</f>
        <v>View</v>
      </c>
    </row>
    <row r="998" spans="1:21" ht="20.399999999999999">
      <c r="A998" s="6">
        <v>43425.05405092593</v>
      </c>
      <c r="B998" s="7" t="str">
        <f>HYPERLINK("https://twitter.com/titulares24hora","@titulares24hora")</f>
        <v>@titulares24hora</v>
      </c>
      <c r="C998" s="8" t="s">
        <v>654</v>
      </c>
      <c r="D998" s="9" t="s">
        <v>3674</v>
      </c>
      <c r="E998" s="10" t="str">
        <f>HYPERLINK("https://twitter.com/titulares24hora/status/1065172423245479941","1065172423245479941")</f>
        <v>1065172423245479941</v>
      </c>
      <c r="F998" s="12"/>
      <c r="G998" s="12"/>
      <c r="H998" s="12"/>
      <c r="I998" s="13">
        <v>0</v>
      </c>
      <c r="J998" s="13">
        <v>0</v>
      </c>
      <c r="K998" s="14" t="str">
        <f t="shared" ref="K998:K999" si="187">HYPERLINK("https://ifttt.com","IFTTT")</f>
        <v>IFTTT</v>
      </c>
      <c r="L998" s="13">
        <v>394</v>
      </c>
      <c r="M998" s="13">
        <v>1463</v>
      </c>
      <c r="N998" s="13">
        <v>2</v>
      </c>
      <c r="O998" s="15"/>
      <c r="P998" s="6">
        <v>42508.071805555555</v>
      </c>
      <c r="Q998" s="12"/>
      <c r="R998" s="16" t="s">
        <v>655</v>
      </c>
      <c r="S998" s="12"/>
      <c r="T998" s="12"/>
      <c r="U998" s="10" t="str">
        <f>HYPERLINK("https://pbs.twimg.com/profile_images/732855169034166272/A8O2LY2J.jpg","View")</f>
        <v>View</v>
      </c>
    </row>
    <row r="999" spans="1:21" ht="20.399999999999999">
      <c r="A999" s="6">
        <v>43425.053819444445</v>
      </c>
      <c r="B999" s="7" t="str">
        <f>HYPERLINK("https://twitter.com/adelacafe93","@adelacafe93")</f>
        <v>@adelacafe93</v>
      </c>
      <c r="C999" s="8" t="s">
        <v>658</v>
      </c>
      <c r="D999" s="9" t="s">
        <v>3674</v>
      </c>
      <c r="E999" s="10" t="str">
        <f>HYPERLINK("https://twitter.com/adelacafe93/status/1065172340844179456","1065172340844179456")</f>
        <v>1065172340844179456</v>
      </c>
      <c r="F999" s="11" t="s">
        <v>3675</v>
      </c>
      <c r="G999" s="12"/>
      <c r="H999" s="12"/>
      <c r="I999" s="13">
        <v>0</v>
      </c>
      <c r="J999" s="13">
        <v>0</v>
      </c>
      <c r="K999" s="14" t="str">
        <f t="shared" si="187"/>
        <v>IFTTT</v>
      </c>
      <c r="L999" s="13">
        <v>18</v>
      </c>
      <c r="M999" s="13">
        <v>47</v>
      </c>
      <c r="N999" s="13">
        <v>0</v>
      </c>
      <c r="O999" s="15"/>
      <c r="P999" s="6">
        <v>42761.240034722221</v>
      </c>
      <c r="Q999" s="17" t="s">
        <v>660</v>
      </c>
      <c r="R999" s="16" t="s">
        <v>661</v>
      </c>
      <c r="S999" s="12"/>
      <c r="T999" s="12"/>
      <c r="U999" s="10" t="str">
        <f>HYPERLINK("https://pbs.twimg.com/profile_images/824614694078013444/fkDV_Y0Z.jpg","View")</f>
        <v>View</v>
      </c>
    </row>
    <row r="1000" spans="1:21" ht="30.6">
      <c r="A1000" s="6">
        <v>43425.051516203705</v>
      </c>
      <c r="B1000" s="7" t="str">
        <f>HYPERLINK("https://twitter.com/LibertadFMradio","@LibertadFMradio")</f>
        <v>@LibertadFMradio</v>
      </c>
      <c r="C1000" s="8" t="s">
        <v>3676</v>
      </c>
      <c r="D1000" s="9" t="s">
        <v>3677</v>
      </c>
      <c r="E1000" s="10" t="str">
        <f>HYPERLINK("https://twitter.com/LibertadFMradio/status/1065171507385720832","1065171507385720832")</f>
        <v>1065171507385720832</v>
      </c>
      <c r="F1000" s="11" t="s">
        <v>3678</v>
      </c>
      <c r="G1000" s="12"/>
      <c r="H1000" s="12"/>
      <c r="I1000" s="13">
        <v>0</v>
      </c>
      <c r="J1000" s="13">
        <v>0</v>
      </c>
      <c r="K1000" s="14" t="str">
        <f>HYPERLINK("http://www.facebook.com/twitter","Facebook")</f>
        <v>Facebook</v>
      </c>
      <c r="L1000" s="13">
        <v>31271</v>
      </c>
      <c r="M1000" s="13">
        <v>1207</v>
      </c>
      <c r="N1000" s="13">
        <v>326</v>
      </c>
      <c r="O1000" s="19" t="s">
        <v>74</v>
      </c>
      <c r="P1000" s="6">
        <v>40924.544895833329</v>
      </c>
      <c r="Q1000" s="17" t="s">
        <v>29</v>
      </c>
      <c r="R1000" s="16" t="s">
        <v>3679</v>
      </c>
      <c r="S1000" s="11" t="s">
        <v>3680</v>
      </c>
      <c r="T1000" s="12"/>
      <c r="U1000" s="10" t="str">
        <f>HYPERLINK("https://pbs.twimg.com/profile_images/1059761011580944384/SJ-nEtNI.jpg","View")</f>
        <v>View</v>
      </c>
    </row>
    <row r="1001" spans="1:21" ht="40.799999999999997">
      <c r="A1001" s="6">
        <v>43425.051064814819</v>
      </c>
      <c r="B1001" s="7" t="str">
        <f>HYPERLINK("https://twitter.com/ElMundoEspana","@ElMundoEspana")</f>
        <v>@ElMundoEspana</v>
      </c>
      <c r="C1001" s="8" t="s">
        <v>2381</v>
      </c>
      <c r="D1001" s="9" t="s">
        <v>3674</v>
      </c>
      <c r="E1001" s="10" t="str">
        <f>HYPERLINK("https://twitter.com/ElMundoEspana/status/1065171339865178112","1065171339865178112")</f>
        <v>1065171339865178112</v>
      </c>
      <c r="F1001" s="11" t="s">
        <v>2005</v>
      </c>
      <c r="G1001" s="12"/>
      <c r="H1001" s="12"/>
      <c r="I1001" s="13">
        <v>0</v>
      </c>
      <c r="J1001" s="13">
        <v>0</v>
      </c>
      <c r="K1001" s="14" t="str">
        <f>HYPERLINK("http://twitter.com","Twitter Web Client")</f>
        <v>Twitter Web Client</v>
      </c>
      <c r="L1001" s="13">
        <v>17967</v>
      </c>
      <c r="M1001" s="13">
        <v>654</v>
      </c>
      <c r="N1001" s="13">
        <v>350</v>
      </c>
      <c r="O1001" s="19" t="s">
        <v>74</v>
      </c>
      <c r="P1001" s="6">
        <v>42089.082106481481</v>
      </c>
      <c r="Q1001" s="12"/>
      <c r="R1001" s="16" t="s">
        <v>2383</v>
      </c>
      <c r="S1001" s="11" t="s">
        <v>2384</v>
      </c>
      <c r="T1001" s="12"/>
      <c r="U1001" s="10" t="str">
        <f>HYPERLINK("https://pbs.twimg.com/profile_images/780431237555032064/H6v83dkC.jpg","View")</f>
        <v>View</v>
      </c>
    </row>
    <row r="1002" spans="1:21" ht="40.799999999999997">
      <c r="A1002" s="6">
        <v>43425.048194444447</v>
      </c>
      <c r="B1002" s="7" t="str">
        <f>HYPERLINK("https://twitter.com/BuenosDiasTM","@BuenosDiasTM")</f>
        <v>@BuenosDiasTM</v>
      </c>
      <c r="C1002" s="8" t="s">
        <v>3681</v>
      </c>
      <c r="D1002" s="9" t="s">
        <v>3682</v>
      </c>
      <c r="E1002" s="10" t="str">
        <f>HYPERLINK("https://twitter.com/BuenosDiasTM/status/1065170299661025281","1065170299661025281")</f>
        <v>1065170299661025281</v>
      </c>
      <c r="F1002" s="11" t="s">
        <v>3683</v>
      </c>
      <c r="G1002" s="12"/>
      <c r="H1002" s="12"/>
      <c r="I1002" s="13">
        <v>0</v>
      </c>
      <c r="J1002" s="13">
        <v>0</v>
      </c>
      <c r="K1002" s="14" t="str">
        <f>HYPERLINK("http://dogtrack.es","DogTrack_Oficial")</f>
        <v>DogTrack_Oficial</v>
      </c>
      <c r="L1002" s="13">
        <v>7246</v>
      </c>
      <c r="M1002" s="13">
        <v>508</v>
      </c>
      <c r="N1002" s="13">
        <v>138</v>
      </c>
      <c r="O1002" s="19" t="s">
        <v>74</v>
      </c>
      <c r="P1002" s="6">
        <v>42481.182337962964</v>
      </c>
      <c r="Q1002" s="12"/>
      <c r="R1002" s="16" t="s">
        <v>3684</v>
      </c>
      <c r="S1002" s="11" t="s">
        <v>3685</v>
      </c>
      <c r="T1002" s="12"/>
      <c r="U1002" s="10" t="str">
        <f>HYPERLINK("https://pbs.twimg.com/profile_images/908695237199097856/lkmDoNxh.jpg","View")</f>
        <v>View</v>
      </c>
    </row>
    <row r="1003" spans="1:21" ht="51">
      <c r="A1003" s="6">
        <v>43425.04623842593</v>
      </c>
      <c r="B1003" s="7" t="str">
        <f>HYPERLINK("https://twitter.com/mrfervenza","@mrfervenza")</f>
        <v>@mrfervenza</v>
      </c>
      <c r="C1003" s="8" t="s">
        <v>3686</v>
      </c>
      <c r="D1003" s="9" t="s">
        <v>3687</v>
      </c>
      <c r="E1003" s="10" t="str">
        <f>HYPERLINK("https://twitter.com/mrfervenza/status/1065169592589459457","1065169592589459457")</f>
        <v>1065169592589459457</v>
      </c>
      <c r="F1003" s="12"/>
      <c r="G1003" s="12"/>
      <c r="H1003" s="12"/>
      <c r="I1003" s="13">
        <v>0</v>
      </c>
      <c r="J1003" s="13">
        <v>0</v>
      </c>
      <c r="K1003" s="14" t="str">
        <f t="shared" ref="K1003:K1004" si="188">HYPERLINK("http://twitter.com","Twitter Web Client")</f>
        <v>Twitter Web Client</v>
      </c>
      <c r="L1003" s="13">
        <v>271</v>
      </c>
      <c r="M1003" s="13">
        <v>196</v>
      </c>
      <c r="N1003" s="13">
        <v>5</v>
      </c>
      <c r="O1003" s="15"/>
      <c r="P1003" s="6">
        <v>40577.17559027778</v>
      </c>
      <c r="Q1003" s="17" t="s">
        <v>3688</v>
      </c>
      <c r="R1003" s="16" t="s">
        <v>3689</v>
      </c>
      <c r="S1003" s="11" t="s">
        <v>3690</v>
      </c>
      <c r="T1003" s="12"/>
      <c r="U1003" s="10" t="str">
        <f>HYPERLINK("https://pbs.twimg.com/profile_images/378800000171089961/1b0a78cbbe5ce8828696a15746a423ca.jpeg","View")</f>
        <v>View</v>
      </c>
    </row>
    <row r="1004" spans="1:21" ht="40.799999999999997">
      <c r="A1004" s="6">
        <v>43425.045208333337</v>
      </c>
      <c r="B1004" s="7" t="str">
        <f>HYPERLINK("https://twitter.com/Ivanjode","@Ivanjode")</f>
        <v>@Ivanjode</v>
      </c>
      <c r="C1004" s="8" t="s">
        <v>2429</v>
      </c>
      <c r="D1004" s="9" t="s">
        <v>3691</v>
      </c>
      <c r="E1004" s="10" t="str">
        <f>HYPERLINK("https://twitter.com/Ivanjode/status/1065169220781117440","1065169220781117440")</f>
        <v>1065169220781117440</v>
      </c>
      <c r="F1004" s="12"/>
      <c r="G1004" s="12"/>
      <c r="H1004" s="12"/>
      <c r="I1004" s="13">
        <v>11</v>
      </c>
      <c r="J1004" s="13">
        <v>17</v>
      </c>
      <c r="K1004" s="14" t="str">
        <f t="shared" si="188"/>
        <v>Twitter Web Client</v>
      </c>
      <c r="L1004" s="13">
        <v>2170</v>
      </c>
      <c r="M1004" s="13">
        <v>634</v>
      </c>
      <c r="N1004" s="13">
        <v>14</v>
      </c>
      <c r="O1004" s="15"/>
      <c r="P1004" s="6">
        <v>42657.02621527778</v>
      </c>
      <c r="Q1004" s="17" t="s">
        <v>2431</v>
      </c>
      <c r="R1004" s="16" t="s">
        <v>2432</v>
      </c>
      <c r="S1004" s="12"/>
      <c r="T1004" s="12"/>
      <c r="U1004" s="10" t="str">
        <f>HYPERLINK("https://pbs.twimg.com/profile_images/874878869924454400/Datok-5S.jpg","View")</f>
        <v>View</v>
      </c>
    </row>
    <row r="1005" spans="1:21" ht="30.6">
      <c r="A1005" s="6">
        <v>43425.044050925921</v>
      </c>
      <c r="B1005" s="7" t="str">
        <f>HYPERLINK("https://twitter.com/eltiodelatara","@eltiodelatara")</f>
        <v>@eltiodelatara</v>
      </c>
      <c r="C1005" s="8" t="s">
        <v>3692</v>
      </c>
      <c r="D1005" s="9" t="s">
        <v>3693</v>
      </c>
      <c r="E1005" s="10" t="str">
        <f>HYPERLINK("https://twitter.com/eltiodelatara/status/1065168798431526912","1065168798431526912")</f>
        <v>1065168798431526912</v>
      </c>
      <c r="F1005" s="12"/>
      <c r="G1005" s="12"/>
      <c r="H1005" s="12"/>
      <c r="I1005" s="13">
        <v>0</v>
      </c>
      <c r="J1005" s="13">
        <v>0</v>
      </c>
      <c r="K1005" s="14" t="str">
        <f t="shared" ref="K1005:K1007" si="189">HYPERLINK("http://twitter.com/download/android","Twitter for Android")</f>
        <v>Twitter for Android</v>
      </c>
      <c r="L1005" s="13">
        <v>58</v>
      </c>
      <c r="M1005" s="13">
        <v>491</v>
      </c>
      <c r="N1005" s="13">
        <v>0</v>
      </c>
      <c r="O1005" s="15"/>
      <c r="P1005" s="6">
        <v>43422.467314814814</v>
      </c>
      <c r="Q1005" s="12"/>
      <c r="R1005" s="16" t="s">
        <v>3694</v>
      </c>
      <c r="S1005" s="12"/>
      <c r="T1005" s="12"/>
      <c r="U1005" s="10" t="str">
        <f>HYPERLINK("https://pbs.twimg.com/profile_images/1064236292337295360/DAhVXI11.jpg","View")</f>
        <v>View</v>
      </c>
    </row>
    <row r="1006" spans="1:21" ht="30.6">
      <c r="A1006" s="6">
        <v>43425.040636574078</v>
      </c>
      <c r="B1006" s="7" t="str">
        <f>HYPERLINK("https://twitter.com/EvaRgzC","@EvaRgzC")</f>
        <v>@EvaRgzC</v>
      </c>
      <c r="C1006" s="8" t="s">
        <v>3695</v>
      </c>
      <c r="D1006" s="9" t="s">
        <v>3696</v>
      </c>
      <c r="E1006" s="10" t="str">
        <f>HYPERLINK("https://twitter.com/EvaRgzC/status/1065167561443168262","1065167561443168262")</f>
        <v>1065167561443168262</v>
      </c>
      <c r="F1006" s="12"/>
      <c r="G1006" s="12"/>
      <c r="H1006" s="12"/>
      <c r="I1006" s="13">
        <v>0</v>
      </c>
      <c r="J1006" s="13">
        <v>6</v>
      </c>
      <c r="K1006" s="14" t="str">
        <f t="shared" si="189"/>
        <v>Twitter for Android</v>
      </c>
      <c r="L1006" s="13">
        <v>418</v>
      </c>
      <c r="M1006" s="13">
        <v>316</v>
      </c>
      <c r="N1006" s="13">
        <v>3</v>
      </c>
      <c r="O1006" s="15"/>
      <c r="P1006" s="6">
        <v>40895.358368055553</v>
      </c>
      <c r="Q1006" s="12"/>
      <c r="R1006" s="16" t="s">
        <v>3697</v>
      </c>
      <c r="S1006" s="12"/>
      <c r="T1006" s="12"/>
      <c r="U1006" s="10" t="str">
        <f>HYPERLINK("https://pbs.twimg.com/profile_images/1056532299423072256/JD8ZbAIU.jpg","View")</f>
        <v>View</v>
      </c>
    </row>
    <row r="1007" spans="1:21" ht="20.399999999999999">
      <c r="A1007" s="6">
        <v>43425.038969907408</v>
      </c>
      <c r="B1007" s="7" t="str">
        <f>HYPERLINK("https://twitter.com/ALF_Astur","@ALF_Astur")</f>
        <v>@ALF_Astur</v>
      </c>
      <c r="C1007" s="8" t="s">
        <v>1412</v>
      </c>
      <c r="D1007" s="9" t="s">
        <v>3698</v>
      </c>
      <c r="E1007" s="10" t="str">
        <f>HYPERLINK("https://twitter.com/ALF_Astur/status/1065166958184796162","1065166958184796162")</f>
        <v>1065166958184796162</v>
      </c>
      <c r="F1007" s="12"/>
      <c r="G1007" s="12"/>
      <c r="H1007" s="12"/>
      <c r="I1007" s="13">
        <v>2</v>
      </c>
      <c r="J1007" s="13">
        <v>2</v>
      </c>
      <c r="K1007" s="14" t="str">
        <f t="shared" si="189"/>
        <v>Twitter for Android</v>
      </c>
      <c r="L1007" s="13">
        <v>277</v>
      </c>
      <c r="M1007" s="13">
        <v>489</v>
      </c>
      <c r="N1007" s="13">
        <v>3</v>
      </c>
      <c r="O1007" s="15"/>
      <c r="P1007" s="6">
        <v>42730.467986111107</v>
      </c>
      <c r="Q1007" s="17" t="s">
        <v>216</v>
      </c>
      <c r="R1007" s="16" t="s">
        <v>1415</v>
      </c>
      <c r="S1007" s="12"/>
      <c r="T1007" s="12"/>
      <c r="U1007" s="10" t="str">
        <f>HYPERLINK("https://pbs.twimg.com/profile_images/867004705997815808/ix8YmEyh.jpg","View")</f>
        <v>View</v>
      </c>
    </row>
    <row r="1008" spans="1:21" ht="40.799999999999997">
      <c r="A1008" s="6">
        <v>43425.038263888884</v>
      </c>
      <c r="B1008" s="7" t="str">
        <f>HYPERLINK("https://twitter.com/lextresabogados","@lextresabogados")</f>
        <v>@lextresabogados</v>
      </c>
      <c r="C1008" s="8" t="s">
        <v>59</v>
      </c>
      <c r="D1008" s="9" t="s">
        <v>3699</v>
      </c>
      <c r="E1008" s="10" t="str">
        <f>HYPERLINK("https://twitter.com/lextresabogados/status/1065166702651080704","1065166702651080704")</f>
        <v>1065166702651080704</v>
      </c>
      <c r="F1008" s="11" t="s">
        <v>3700</v>
      </c>
      <c r="G1008" s="12"/>
      <c r="H1008" s="12"/>
      <c r="I1008" s="13">
        <v>0</v>
      </c>
      <c r="J1008" s="13">
        <v>0</v>
      </c>
      <c r="K1008" s="14" t="str">
        <f>HYPERLINK("http://35.180.36.179","botize nueva")</f>
        <v>botize nueva</v>
      </c>
      <c r="L1008" s="13">
        <v>2229</v>
      </c>
      <c r="M1008" s="13">
        <v>3277</v>
      </c>
      <c r="N1008" s="13">
        <v>21</v>
      </c>
      <c r="O1008" s="15"/>
      <c r="P1008" s="6">
        <v>42880.395949074074</v>
      </c>
      <c r="Q1008" s="17" t="s">
        <v>62</v>
      </c>
      <c r="R1008" s="16" t="s">
        <v>63</v>
      </c>
      <c r="S1008" s="11" t="s">
        <v>64</v>
      </c>
      <c r="T1008" s="12"/>
      <c r="U1008" s="10" t="str">
        <f>HYPERLINK("https://pbs.twimg.com/profile_images/1058352229546164224/xnNCczNu.jpg","View")</f>
        <v>View</v>
      </c>
    </row>
    <row r="1009" spans="1:21" ht="20.399999999999999">
      <c r="A1009" s="6">
        <v>43425.034178240741</v>
      </c>
      <c r="B1009" s="7" t="str">
        <f>HYPERLINK("https://twitter.com/Gllds","@Gllds")</f>
        <v>@Gllds</v>
      </c>
      <c r="C1009" s="8" t="s">
        <v>3701</v>
      </c>
      <c r="D1009" s="9" t="s">
        <v>3702</v>
      </c>
      <c r="E1009" s="10" t="str">
        <f>HYPERLINK("https://twitter.com/Gllds/status/1065165221336100865","1065165221336100865")</f>
        <v>1065165221336100865</v>
      </c>
      <c r="F1009" s="11" t="s">
        <v>3611</v>
      </c>
      <c r="G1009" s="12"/>
      <c r="H1009" s="12"/>
      <c r="I1009" s="13">
        <v>2</v>
      </c>
      <c r="J1009" s="13">
        <v>2</v>
      </c>
      <c r="K1009" s="14" t="str">
        <f>HYPERLINK("http://twitter.com/download/iphone","Twitter for iPhone")</f>
        <v>Twitter for iPhone</v>
      </c>
      <c r="L1009" s="13">
        <v>738</v>
      </c>
      <c r="M1009" s="13">
        <v>358</v>
      </c>
      <c r="N1009" s="13">
        <v>6</v>
      </c>
      <c r="O1009" s="15"/>
      <c r="P1009" s="6">
        <v>40910.33971064815</v>
      </c>
      <c r="Q1009" s="17" t="s">
        <v>118</v>
      </c>
      <c r="R1009" s="16" t="s">
        <v>3703</v>
      </c>
      <c r="S1009" s="12"/>
      <c r="T1009" s="12"/>
      <c r="U1009" s="10" t="str">
        <f>HYPERLINK("https://pbs.twimg.com/profile_images/1028943477596454912/3M6MZZ2n.jpg","View")</f>
        <v>View</v>
      </c>
    </row>
    <row r="1010" spans="1:21" ht="30.6">
      <c r="A1010" s="6">
        <v>43425.0309375</v>
      </c>
      <c r="B1010" s="7" t="str">
        <f>HYPERLINK("https://twitter.com/LaVanguardia","@LaVanguardia")</f>
        <v>@LaVanguardia</v>
      </c>
      <c r="C1010" s="8" t="s">
        <v>3704</v>
      </c>
      <c r="D1010" s="9" t="s">
        <v>3699</v>
      </c>
      <c r="E1010" s="10" t="str">
        <f>HYPERLINK("https://twitter.com/LaVanguardia/status/1065164046356410368","1065164046356410368")</f>
        <v>1065164046356410368</v>
      </c>
      <c r="F1010" s="11" t="s">
        <v>3700</v>
      </c>
      <c r="G1010" s="12"/>
      <c r="H1010" s="12"/>
      <c r="I1010" s="13">
        <v>2</v>
      </c>
      <c r="J1010" s="13">
        <v>0</v>
      </c>
      <c r="K1010" s="14" t="str">
        <f>HYPERLINK("http://www.lavanguardia.es","App publicación twits DGRID")</f>
        <v>App publicación twits DGRID</v>
      </c>
      <c r="L1010" s="13">
        <v>997176</v>
      </c>
      <c r="M1010" s="13">
        <v>523</v>
      </c>
      <c r="N1010" s="13">
        <v>12534</v>
      </c>
      <c r="O1010" s="19" t="s">
        <v>74</v>
      </c>
      <c r="P1010" s="6">
        <v>40071.289548611108</v>
      </c>
      <c r="Q1010" s="17" t="s">
        <v>187</v>
      </c>
      <c r="R1010" s="16" t="s">
        <v>3705</v>
      </c>
      <c r="S1010" s="11" t="s">
        <v>3706</v>
      </c>
      <c r="T1010" s="12"/>
      <c r="U1010" s="10" t="str">
        <f>HYPERLINK("https://pbs.twimg.com/profile_images/936873783721320448/6Q97S0pp.jpg","View")</f>
        <v>View</v>
      </c>
    </row>
    <row r="1011" spans="1:21" ht="40.799999999999997">
      <c r="A1011" s="6">
        <v>43425.02888888889</v>
      </c>
      <c r="B1011" s="7" t="str">
        <f>HYPERLINK("https://twitter.com/LuisMiguelClav1","@LuisMiguelClav1")</f>
        <v>@LuisMiguelClav1</v>
      </c>
      <c r="C1011" s="8" t="s">
        <v>3707</v>
      </c>
      <c r="D1011" s="9" t="s">
        <v>3708</v>
      </c>
      <c r="E1011" s="10" t="str">
        <f>HYPERLINK("https://twitter.com/LuisMiguelClav1/status/1065163304342032384","1065163304342032384")</f>
        <v>1065163304342032384</v>
      </c>
      <c r="F1011" s="11" t="s">
        <v>3709</v>
      </c>
      <c r="G1011" s="12"/>
      <c r="H1011" s="12"/>
      <c r="I1011" s="13">
        <v>0</v>
      </c>
      <c r="J1011" s="13">
        <v>0</v>
      </c>
      <c r="K1011" s="14" t="str">
        <f>HYPERLINK("http://twitter.com/download/android","Twitter for Android")</f>
        <v>Twitter for Android</v>
      </c>
      <c r="L1011" s="13">
        <v>29270</v>
      </c>
      <c r="M1011" s="13">
        <v>29069</v>
      </c>
      <c r="N1011" s="13">
        <v>122</v>
      </c>
      <c r="O1011" s="15"/>
      <c r="P1011" s="6">
        <v>41071.214965277773</v>
      </c>
      <c r="Q1011" s="17" t="s">
        <v>3710</v>
      </c>
      <c r="R1011" s="16" t="s">
        <v>3711</v>
      </c>
      <c r="S1011" s="11" t="s">
        <v>3712</v>
      </c>
      <c r="T1011" s="12"/>
      <c r="U1011" s="10" t="str">
        <f>HYPERLINK("https://pbs.twimg.com/profile_images/1052116364100608000/utuuVxDT.jpg","View")</f>
        <v>View</v>
      </c>
    </row>
    <row r="1012" spans="1:21" ht="20.399999999999999">
      <c r="A1012" s="6">
        <v>43425.028587962966</v>
      </c>
      <c r="B1012" s="7" t="str">
        <f>HYPERLINK("https://twitter.com/MonMundialCat","@MonMundialCat")</f>
        <v>@MonMundialCat</v>
      </c>
      <c r="C1012" s="8" t="s">
        <v>3713</v>
      </c>
      <c r="D1012" s="9" t="s">
        <v>2821</v>
      </c>
      <c r="E1012" s="10" t="str">
        <f>HYPERLINK("https://twitter.com/MonMundialCat/status/1065163197668302848","1065163197668302848")</f>
        <v>1065163197668302848</v>
      </c>
      <c r="F1012" s="11" t="s">
        <v>3714</v>
      </c>
      <c r="G1012" s="12"/>
      <c r="H1012" s="12"/>
      <c r="I1012" s="13">
        <v>0</v>
      </c>
      <c r="J1012" s="13">
        <v>0</v>
      </c>
      <c r="K1012" s="14" t="str">
        <f>HYPERLINK("https://ifttt.com","IFTTT")</f>
        <v>IFTTT</v>
      </c>
      <c r="L1012" s="13">
        <v>5559</v>
      </c>
      <c r="M1012" s="13">
        <v>5021</v>
      </c>
      <c r="N1012" s="13">
        <v>79</v>
      </c>
      <c r="O1012" s="15"/>
      <c r="P1012" s="6">
        <v>40865.50613425926</v>
      </c>
      <c r="Q1012" s="17" t="s">
        <v>3715</v>
      </c>
      <c r="R1012" s="16" t="s">
        <v>3716</v>
      </c>
      <c r="S1012" s="11" t="s">
        <v>3717</v>
      </c>
      <c r="T1012" s="12"/>
      <c r="U1012" s="10" t="str">
        <f>HYPERLINK("https://pbs.twimg.com/profile_images/632289509934149633/LCTPOlnA.png","View")</f>
        <v>View</v>
      </c>
    </row>
    <row r="1013" spans="1:21" ht="61.2">
      <c r="A1013" s="6">
        <v>43425.025682870371</v>
      </c>
      <c r="B1013" s="7" t="str">
        <f>HYPERLINK("https://twitter.com/eldivandeJules","@eldivandeJules")</f>
        <v>@eldivandeJules</v>
      </c>
      <c r="C1013" s="8" t="s">
        <v>3718</v>
      </c>
      <c r="D1013" s="9" t="s">
        <v>3719</v>
      </c>
      <c r="E1013" s="10" t="str">
        <f>HYPERLINK("https://twitter.com/eldivandeJules/status/1065162145464311808","1065162145464311808")</f>
        <v>1065162145464311808</v>
      </c>
      <c r="F1013" s="12"/>
      <c r="G1013" s="12"/>
      <c r="H1013" s="12"/>
      <c r="I1013" s="13">
        <v>494</v>
      </c>
      <c r="J1013" s="13">
        <v>843</v>
      </c>
      <c r="K1013" s="14" t="str">
        <f>HYPERLINK("http://twitter.com/download/android","Twitter for Android")</f>
        <v>Twitter for Android</v>
      </c>
      <c r="L1013" s="13">
        <v>16291</v>
      </c>
      <c r="M1013" s="13">
        <v>3738</v>
      </c>
      <c r="N1013" s="13">
        <v>58</v>
      </c>
      <c r="O1013" s="15"/>
      <c r="P1013" s="6">
        <v>43221.73332175926</v>
      </c>
      <c r="Q1013" s="12"/>
      <c r="R1013" s="16" t="s">
        <v>3720</v>
      </c>
      <c r="S1013" s="12"/>
      <c r="T1013" s="12"/>
      <c r="U1013" s="10" t="str">
        <f>HYPERLINK("https://pbs.twimg.com/profile_images/991478533389209601/fIbyIduf.jpg","View")</f>
        <v>View</v>
      </c>
    </row>
    <row r="1014" spans="1:21" ht="40.799999999999997">
      <c r="A1014" s="6">
        <v>43425.024884259255</v>
      </c>
      <c r="B1014" s="7" t="str">
        <f>HYPERLINK("https://twitter.com/MartiBraslavsky","@MartiBraslavsky")</f>
        <v>@MartiBraslavsky</v>
      </c>
      <c r="C1014" s="8" t="s">
        <v>3721</v>
      </c>
      <c r="D1014" s="9" t="s">
        <v>3722</v>
      </c>
      <c r="E1014" s="10" t="str">
        <f>HYPERLINK("https://twitter.com/MartiBraslavsky/status/1065161855084179456","1065161855084179456")</f>
        <v>1065161855084179456</v>
      </c>
      <c r="F1014" s="12"/>
      <c r="G1014" s="12"/>
      <c r="H1014" s="12"/>
      <c r="I1014" s="13">
        <v>0</v>
      </c>
      <c r="J1014" s="13">
        <v>0</v>
      </c>
      <c r="K1014" s="14" t="str">
        <f>HYPERLINK("http://twitter.com","Twitter Web Client")</f>
        <v>Twitter Web Client</v>
      </c>
      <c r="L1014" s="13">
        <v>983</v>
      </c>
      <c r="M1014" s="13">
        <v>737</v>
      </c>
      <c r="N1014" s="13">
        <v>4</v>
      </c>
      <c r="O1014" s="15"/>
      <c r="P1014" s="6">
        <v>40599.367384259262</v>
      </c>
      <c r="Q1014" s="17" t="s">
        <v>3723</v>
      </c>
      <c r="R1014" s="16" t="s">
        <v>3724</v>
      </c>
      <c r="S1014" s="12"/>
      <c r="T1014" s="12"/>
      <c r="U1014" s="10" t="str">
        <f>HYPERLINK("https://pbs.twimg.com/profile_images/1006641960789004288/wWSxx5ZQ.jpg","View")</f>
        <v>View</v>
      </c>
    </row>
    <row r="1015" spans="1:21" ht="40.799999999999997">
      <c r="A1015" s="6">
        <v>43425.023923611108</v>
      </c>
      <c r="B1015" s="7" t="str">
        <f>HYPERLINK("https://twitter.com/elnacionalcat","@elnacionalcat")</f>
        <v>@elnacionalcat</v>
      </c>
      <c r="C1015" s="8" t="s">
        <v>776</v>
      </c>
      <c r="D1015" s="9" t="s">
        <v>3725</v>
      </c>
      <c r="E1015" s="10" t="str">
        <f>HYPERLINK("https://twitter.com/elnacionalcat/status/1065161504876572673","1065161504876572673")</f>
        <v>1065161504876572673</v>
      </c>
      <c r="F1015" s="11" t="s">
        <v>2822</v>
      </c>
      <c r="G1015" s="12"/>
      <c r="H1015" s="12"/>
      <c r="I1015" s="13">
        <v>1</v>
      </c>
      <c r="J1015" s="13">
        <v>1</v>
      </c>
      <c r="K1015" s="14" t="str">
        <f t="shared" ref="K1015:K1016" si="190">HYPERLINK("http://www.wearebab.com","Comitium5 BAB")</f>
        <v>Comitium5 BAB</v>
      </c>
      <c r="L1015" s="13">
        <v>103214</v>
      </c>
      <c r="M1015" s="13">
        <v>572</v>
      </c>
      <c r="N1015" s="13">
        <v>1179</v>
      </c>
      <c r="O1015" s="19" t="s">
        <v>74</v>
      </c>
      <c r="P1015" s="6">
        <v>42198.575173611112</v>
      </c>
      <c r="Q1015" s="12"/>
      <c r="R1015" s="16" t="s">
        <v>3726</v>
      </c>
      <c r="S1015" s="11" t="s">
        <v>3727</v>
      </c>
      <c r="T1015" s="12"/>
      <c r="U1015" s="10" t="str">
        <f>HYPERLINK("https://pbs.twimg.com/profile_images/641344204510138368/KnuPd5Hi.png","View")</f>
        <v>View</v>
      </c>
    </row>
    <row r="1016" spans="1:21" ht="40.799999999999997">
      <c r="A1016" s="6">
        <v>43425.0237037037</v>
      </c>
      <c r="B1016" s="7" t="str">
        <f>HYPERLINK("https://twitter.com/elnacionalcat_e","@elnacionalcat_e")</f>
        <v>@elnacionalcat_e</v>
      </c>
      <c r="C1016" s="8" t="s">
        <v>776</v>
      </c>
      <c r="D1016" s="9" t="s">
        <v>3728</v>
      </c>
      <c r="E1016" s="10" t="str">
        <f>HYPERLINK("https://twitter.com/elnacionalcat_e/status/1065161424564117504","1065161424564117504")</f>
        <v>1065161424564117504</v>
      </c>
      <c r="F1016" s="11" t="s">
        <v>3729</v>
      </c>
      <c r="G1016" s="12"/>
      <c r="H1016" s="12"/>
      <c r="I1016" s="13">
        <v>0</v>
      </c>
      <c r="J1016" s="13">
        <v>0</v>
      </c>
      <c r="K1016" s="14" t="str">
        <f t="shared" si="190"/>
        <v>Comitium5 BAB</v>
      </c>
      <c r="L1016" s="13">
        <v>5489</v>
      </c>
      <c r="M1016" s="13">
        <v>355</v>
      </c>
      <c r="N1016" s="13">
        <v>167</v>
      </c>
      <c r="O1016" s="15"/>
      <c r="P1016" s="6">
        <v>42247.465567129635</v>
      </c>
      <c r="Q1016" s="17" t="s">
        <v>638</v>
      </c>
      <c r="R1016" s="16" t="s">
        <v>778</v>
      </c>
      <c r="S1016" s="11" t="s">
        <v>779</v>
      </c>
      <c r="T1016" s="12"/>
      <c r="U1016" s="10" t="str">
        <f>HYPERLINK("https://pbs.twimg.com/profile_images/646298514385960960/VEutSP7L.png","View")</f>
        <v>View</v>
      </c>
    </row>
    <row r="1017" spans="1:21" ht="51">
      <c r="A1017" s="6">
        <v>43425.019467592589</v>
      </c>
      <c r="B1017" s="7" t="str">
        <f>HYPERLINK("https://twitter.com/TheRealBonJavi","@TheRealBonJavi")</f>
        <v>@TheRealBonJavi</v>
      </c>
      <c r="C1017" s="8" t="s">
        <v>2685</v>
      </c>
      <c r="D1017" s="9" t="s">
        <v>3730</v>
      </c>
      <c r="E1017" s="10" t="str">
        <f>HYPERLINK("https://twitter.com/TheRealBonJavi/status/1065159892653219842","1065159892653219842")</f>
        <v>1065159892653219842</v>
      </c>
      <c r="F1017" s="12"/>
      <c r="G1017" s="12"/>
      <c r="H1017" s="12"/>
      <c r="I1017" s="13">
        <v>0</v>
      </c>
      <c r="J1017" s="13">
        <v>0</v>
      </c>
      <c r="K1017" s="14" t="str">
        <f>HYPERLINK("http://twitter.com/download/android","Twitter for Android")</f>
        <v>Twitter for Android</v>
      </c>
      <c r="L1017" s="13">
        <v>368</v>
      </c>
      <c r="M1017" s="13">
        <v>1121</v>
      </c>
      <c r="N1017" s="13">
        <v>6</v>
      </c>
      <c r="O1017" s="15"/>
      <c r="P1017" s="6">
        <v>40963.210092592592</v>
      </c>
      <c r="Q1017" s="17" t="s">
        <v>2687</v>
      </c>
      <c r="R1017" s="16" t="s">
        <v>2688</v>
      </c>
      <c r="S1017" s="11" t="s">
        <v>2689</v>
      </c>
      <c r="T1017" s="12"/>
      <c r="U1017" s="10" t="str">
        <f>HYPERLINK("https://pbs.twimg.com/profile_images/869221034926493696/JZqlx6ZX.jpg","View")</f>
        <v>View</v>
      </c>
    </row>
    <row r="1018" spans="1:21" ht="30.6">
      <c r="A1018" s="6">
        <v>43425.015625</v>
      </c>
      <c r="B1018" s="7" t="str">
        <f>HYPERLINK("https://twitter.com/CasoAislado_Es","@CasoAislado_Es")</f>
        <v>@CasoAislado_Es</v>
      </c>
      <c r="C1018" s="8" t="s">
        <v>3731</v>
      </c>
      <c r="D1018" s="9" t="s">
        <v>3732</v>
      </c>
      <c r="E1018" s="10" t="str">
        <f>HYPERLINK("https://twitter.com/CasoAislado_Es/status/1065158498080751616","1065158498080751616")</f>
        <v>1065158498080751616</v>
      </c>
      <c r="F1018" s="12"/>
      <c r="G1018" s="11" t="s">
        <v>3733</v>
      </c>
      <c r="H1018" s="12"/>
      <c r="I1018" s="13">
        <v>12</v>
      </c>
      <c r="J1018" s="13">
        <v>15</v>
      </c>
      <c r="K1018" s="14" t="str">
        <f>HYPERLINK("http://twitter.com","Twitter Web Client")</f>
        <v>Twitter Web Client</v>
      </c>
      <c r="L1018" s="13">
        <v>20849</v>
      </c>
      <c r="M1018" s="13">
        <v>6396</v>
      </c>
      <c r="N1018" s="13">
        <v>145</v>
      </c>
      <c r="O1018" s="15"/>
      <c r="P1018" s="6">
        <v>40257.227106481485</v>
      </c>
      <c r="Q1018" s="17" t="s">
        <v>3734</v>
      </c>
      <c r="R1018" s="16" t="s">
        <v>3735</v>
      </c>
      <c r="S1018" s="11" t="s">
        <v>3736</v>
      </c>
      <c r="T1018" s="12"/>
      <c r="U1018" s="10" t="str">
        <f>HYPERLINK("https://pbs.twimg.com/profile_images/818503412702707713/QK1J8CEn.jpg","View")</f>
        <v>View</v>
      </c>
    </row>
    <row r="1019" spans="1:21" ht="30.6">
      <c r="A1019" s="6">
        <v>43425.01394675926</v>
      </c>
      <c r="B1019" s="7" t="str">
        <f>HYPERLINK("https://twitter.com/Cambio16","@Cambio16")</f>
        <v>@Cambio16</v>
      </c>
      <c r="C1019" s="8" t="s">
        <v>953</v>
      </c>
      <c r="D1019" s="9" t="s">
        <v>3737</v>
      </c>
      <c r="E1019" s="10" t="str">
        <f>HYPERLINK("https://twitter.com/Cambio16/status/1065157891194273797","1065157891194273797")</f>
        <v>1065157891194273797</v>
      </c>
      <c r="F1019" s="11" t="s">
        <v>2135</v>
      </c>
      <c r="G1019" s="11" t="s">
        <v>3738</v>
      </c>
      <c r="H1019" s="12"/>
      <c r="I1019" s="13">
        <v>0</v>
      </c>
      <c r="J1019" s="13">
        <v>0</v>
      </c>
      <c r="K1019" s="14" t="str">
        <f>HYPERLINK("https://www.hootsuite.com","Hootsuite Inc.")</f>
        <v>Hootsuite Inc.</v>
      </c>
      <c r="L1019" s="13">
        <v>17345</v>
      </c>
      <c r="M1019" s="13">
        <v>765</v>
      </c>
      <c r="N1019" s="13">
        <v>499</v>
      </c>
      <c r="O1019" s="15"/>
      <c r="P1019" s="6">
        <v>40341.117245370369</v>
      </c>
      <c r="Q1019" s="17" t="s">
        <v>143</v>
      </c>
      <c r="R1019" s="16" t="s">
        <v>958</v>
      </c>
      <c r="S1019" s="11" t="s">
        <v>959</v>
      </c>
      <c r="T1019" s="12"/>
      <c r="U1019" s="10" t="str">
        <f>HYPERLINK("https://pbs.twimg.com/profile_images/1060221846208069632/vJfJ3_T5.jpg","View")</f>
        <v>View</v>
      </c>
    </row>
    <row r="1020" spans="1:21" ht="30.6">
      <c r="A1020" s="6">
        <v>43425.012638888889</v>
      </c>
      <c r="B1020" s="7" t="str">
        <f>HYPERLINK("https://twitter.com/ldpsincomplejos","@ldpsincomplejos")</f>
        <v>@ldpsincomplejos</v>
      </c>
      <c r="C1020" s="8" t="s">
        <v>2102</v>
      </c>
      <c r="D1020" s="9" t="s">
        <v>3739</v>
      </c>
      <c r="E1020" s="10" t="str">
        <f>HYPERLINK("https://twitter.com/ldpsincomplejos/status/1065157415207874561","1065157415207874561")</f>
        <v>1065157415207874561</v>
      </c>
      <c r="F1020" s="11" t="s">
        <v>3740</v>
      </c>
      <c r="G1020" s="12"/>
      <c r="H1020" s="12"/>
      <c r="I1020" s="13">
        <v>16</v>
      </c>
      <c r="J1020" s="13">
        <v>14</v>
      </c>
      <c r="K1020" s="14" t="str">
        <f>HYPERLINK("http://twitter.com","Twitter Web Client")</f>
        <v>Twitter Web Client</v>
      </c>
      <c r="L1020" s="13">
        <v>108175</v>
      </c>
      <c r="M1020" s="13">
        <v>2604</v>
      </c>
      <c r="N1020" s="13">
        <v>1069</v>
      </c>
      <c r="O1020" s="19" t="s">
        <v>74</v>
      </c>
      <c r="P1020" s="6">
        <v>40566.402245370373</v>
      </c>
      <c r="Q1020" s="17" t="s">
        <v>76</v>
      </c>
      <c r="R1020" s="16" t="s">
        <v>2104</v>
      </c>
      <c r="S1020" s="11" t="s">
        <v>2105</v>
      </c>
      <c r="T1020" s="12"/>
      <c r="U1020" s="10" t="str">
        <f>HYPERLINK("https://pbs.twimg.com/profile_images/1007677959245828097/i-2yAFvg.jpg","View")</f>
        <v>View</v>
      </c>
    </row>
    <row r="1021" spans="1:21" ht="40.799999999999997">
      <c r="A1021" s="6">
        <v>43425.01189814815</v>
      </c>
      <c r="B1021" s="7" t="str">
        <f>HYPERLINK("https://twitter.com/Felisuco_","@Felisuco_")</f>
        <v>@Felisuco_</v>
      </c>
      <c r="C1021" s="8" t="s">
        <v>3741</v>
      </c>
      <c r="D1021" s="9" t="s">
        <v>3742</v>
      </c>
      <c r="E1021" s="10" t="str">
        <f>HYPERLINK("https://twitter.com/Felisuco_/status/1065157147372204032","1065157147372204032")</f>
        <v>1065157147372204032</v>
      </c>
      <c r="F1021" s="12"/>
      <c r="G1021" s="12"/>
      <c r="H1021" s="12"/>
      <c r="I1021" s="13">
        <v>17</v>
      </c>
      <c r="J1021" s="13">
        <v>54</v>
      </c>
      <c r="K1021" s="14" t="str">
        <f t="shared" ref="K1021:K1022" si="191">HYPERLINK("http://twitter.com/download/iphone","Twitter for iPhone")</f>
        <v>Twitter for iPhone</v>
      </c>
      <c r="L1021" s="13">
        <v>62334</v>
      </c>
      <c r="M1021" s="13">
        <v>1201</v>
      </c>
      <c r="N1021" s="13">
        <v>625</v>
      </c>
      <c r="O1021" s="19" t="s">
        <v>74</v>
      </c>
      <c r="P1021" s="6">
        <v>40557.497349537036</v>
      </c>
      <c r="Q1021" s="12"/>
      <c r="R1021" s="16" t="s">
        <v>3743</v>
      </c>
      <c r="S1021" s="11" t="s">
        <v>3744</v>
      </c>
      <c r="T1021" s="12"/>
      <c r="U1021" s="10" t="str">
        <f>HYPERLINK("https://pbs.twimg.com/profile_images/1037805670744174592/GvWrlnRc.jpg","View")</f>
        <v>View</v>
      </c>
    </row>
    <row r="1022" spans="1:21" ht="30.6">
      <c r="A1022" s="6">
        <v>43425.010069444441</v>
      </c>
      <c r="B1022" s="7" t="str">
        <f>HYPERLINK("https://twitter.com/villarrubiapsoe","@villarrubiapsoe")</f>
        <v>@villarrubiapsoe</v>
      </c>
      <c r="C1022" s="8" t="s">
        <v>3745</v>
      </c>
      <c r="D1022" s="9" t="s">
        <v>3746</v>
      </c>
      <c r="E1022" s="10" t="str">
        <f>HYPERLINK("https://twitter.com/villarrubiapsoe/status/1065156484206604288","1065156484206604288")</f>
        <v>1065156484206604288</v>
      </c>
      <c r="F1022" s="12"/>
      <c r="G1022" s="12"/>
      <c r="H1022" s="12"/>
      <c r="I1022" s="13">
        <v>0</v>
      </c>
      <c r="J1022" s="13">
        <v>0</v>
      </c>
      <c r="K1022" s="14" t="str">
        <f t="shared" si="191"/>
        <v>Twitter for iPhone</v>
      </c>
      <c r="L1022" s="13">
        <v>3898</v>
      </c>
      <c r="M1022" s="13">
        <v>461</v>
      </c>
      <c r="N1022" s="13">
        <v>128</v>
      </c>
      <c r="O1022" s="15"/>
      <c r="P1022" s="6">
        <v>40833.372199074074</v>
      </c>
      <c r="Q1022" s="17" t="s">
        <v>3747</v>
      </c>
      <c r="R1022" s="16" t="s">
        <v>3748</v>
      </c>
      <c r="S1022" s="11" t="s">
        <v>3749</v>
      </c>
      <c r="T1022" s="12"/>
      <c r="U1022" s="10" t="str">
        <f>HYPERLINK("https://pbs.twimg.com/profile_images/1021054443465342976/0swD0NJW.jpg","View")</f>
        <v>View</v>
      </c>
    </row>
    <row r="1023" spans="1:21" ht="40.799999999999997">
      <c r="A1023" s="6">
        <v>43425.007395833338</v>
      </c>
      <c r="B1023" s="7" t="str">
        <f>HYPERLINK("https://twitter.com/SirGilYPua","@SirGilYPua")</f>
        <v>@SirGilYPua</v>
      </c>
      <c r="C1023" s="8" t="s">
        <v>3750</v>
      </c>
      <c r="D1023" s="9" t="s">
        <v>3751</v>
      </c>
      <c r="E1023" s="10" t="str">
        <f>HYPERLINK("https://twitter.com/SirGilYPua/status/1065155517394362368","1065155517394362368")</f>
        <v>1065155517394362368</v>
      </c>
      <c r="F1023" s="11" t="s">
        <v>3752</v>
      </c>
      <c r="G1023" s="12"/>
      <c r="H1023" s="12"/>
      <c r="I1023" s="13">
        <v>0</v>
      </c>
      <c r="J1023" s="13">
        <v>0</v>
      </c>
      <c r="K1023" s="14" t="str">
        <f t="shared" ref="K1023:K1024" si="192">HYPERLINK("http://twitter.com/download/android","Twitter for Android")</f>
        <v>Twitter for Android</v>
      </c>
      <c r="L1023" s="13">
        <v>64</v>
      </c>
      <c r="M1023" s="13">
        <v>177</v>
      </c>
      <c r="N1023" s="13">
        <v>1</v>
      </c>
      <c r="O1023" s="15"/>
      <c r="P1023" s="6">
        <v>40820.029270833329</v>
      </c>
      <c r="Q1023" s="12"/>
      <c r="R1023" s="16" t="s">
        <v>3753</v>
      </c>
      <c r="S1023" s="12"/>
      <c r="T1023" s="12"/>
      <c r="U1023" s="10" t="str">
        <f>HYPERLINK("https://pbs.twimg.com/profile_images/1017374022420582401/VEivGrgP.jpg","View")</f>
        <v>View</v>
      </c>
    </row>
    <row r="1024" spans="1:21" ht="40.799999999999997">
      <c r="A1024" s="6">
        <v>43425.006400462968</v>
      </c>
      <c r="B1024" s="7" t="str">
        <f>HYPERLINK("https://twitter.com/pasanospoco","@pasanospoco")</f>
        <v>@pasanospoco</v>
      </c>
      <c r="C1024" s="8" t="s">
        <v>3754</v>
      </c>
      <c r="D1024" s="9" t="s">
        <v>3755</v>
      </c>
      <c r="E1024" s="10" t="str">
        <f>HYPERLINK("https://twitter.com/pasanospoco/status/1065155155665006592","1065155155665006592")</f>
        <v>1065155155665006592</v>
      </c>
      <c r="F1024" s="12"/>
      <c r="G1024" s="12"/>
      <c r="H1024" s="12"/>
      <c r="I1024" s="13">
        <v>0</v>
      </c>
      <c r="J1024" s="13">
        <v>0</v>
      </c>
      <c r="K1024" s="14" t="str">
        <f t="shared" si="192"/>
        <v>Twitter for Android</v>
      </c>
      <c r="L1024" s="13">
        <v>839</v>
      </c>
      <c r="M1024" s="13">
        <v>245</v>
      </c>
      <c r="N1024" s="13">
        <v>18</v>
      </c>
      <c r="O1024" s="15"/>
      <c r="P1024" s="6">
        <v>42247.383414351847</v>
      </c>
      <c r="Q1024" s="12"/>
      <c r="R1024" s="16" t="s">
        <v>3756</v>
      </c>
      <c r="S1024" s="12"/>
      <c r="T1024" s="12"/>
      <c r="U1024" s="10" t="str">
        <f>HYPERLINK("https://pbs.twimg.com/profile_images/1036944079282753536/Bklk7Lpn.jpg","View")</f>
        <v>View</v>
      </c>
    </row>
    <row r="1025" spans="1:21" ht="30.6">
      <c r="A1025" s="6">
        <v>43425.00618055556</v>
      </c>
      <c r="B1025" s="7" t="str">
        <f>HYPERLINK("https://twitter.com/Cesarsvlla","@Cesarsvlla")</f>
        <v>@Cesarsvlla</v>
      </c>
      <c r="C1025" s="8" t="s">
        <v>3757</v>
      </c>
      <c r="D1025" s="9" t="s">
        <v>3758</v>
      </c>
      <c r="E1025" s="10" t="str">
        <f>HYPERLINK("https://twitter.com/Cesarsvlla/status/1065155078363983872","1065155078363983872")</f>
        <v>1065155078363983872</v>
      </c>
      <c r="F1025" s="12"/>
      <c r="G1025" s="12"/>
      <c r="H1025" s="12"/>
      <c r="I1025" s="13">
        <v>0</v>
      </c>
      <c r="J1025" s="13">
        <v>1</v>
      </c>
      <c r="K1025" s="14" t="str">
        <f>HYPERLINK("http://twitter.com/download/iphone","Twitter for iPhone")</f>
        <v>Twitter for iPhone</v>
      </c>
      <c r="L1025" s="13">
        <v>2581</v>
      </c>
      <c r="M1025" s="13">
        <v>371</v>
      </c>
      <c r="N1025" s="13">
        <v>29</v>
      </c>
      <c r="O1025" s="15"/>
      <c r="P1025" s="6">
        <v>40484.711388888885</v>
      </c>
      <c r="Q1025" s="12"/>
      <c r="R1025" s="16" t="s">
        <v>3759</v>
      </c>
      <c r="S1025" s="12"/>
      <c r="T1025" s="12"/>
      <c r="U1025" s="10" t="str">
        <f>HYPERLINK("https://pbs.twimg.com/profile_images/928360058404196352/F9ZeCk5U.jpg","View")</f>
        <v>View</v>
      </c>
    </row>
    <row r="1026" spans="1:21" ht="30.6">
      <c r="A1026" s="6">
        <v>43425.005706018521</v>
      </c>
      <c r="B1026" s="7" t="str">
        <f>HYPERLINK("https://twitter.com/Mazzinguerzett1","@Mazzinguerzett1")</f>
        <v>@Mazzinguerzett1</v>
      </c>
      <c r="C1026" s="8" t="s">
        <v>3760</v>
      </c>
      <c r="D1026" s="9" t="s">
        <v>3761</v>
      </c>
      <c r="E1026" s="10" t="str">
        <f>HYPERLINK("https://twitter.com/Mazzinguerzett1/status/1065154904321331201","1065154904321331201")</f>
        <v>1065154904321331201</v>
      </c>
      <c r="F1026" s="12"/>
      <c r="G1026" s="12"/>
      <c r="H1026" s="12"/>
      <c r="I1026" s="13">
        <v>1</v>
      </c>
      <c r="J1026" s="13">
        <v>7</v>
      </c>
      <c r="K1026" s="14" t="str">
        <f>HYPERLINK("http://twitter.com/download/android","Twitter for Android")</f>
        <v>Twitter for Android</v>
      </c>
      <c r="L1026" s="13">
        <v>3754</v>
      </c>
      <c r="M1026" s="13">
        <v>1955</v>
      </c>
      <c r="N1026" s="13">
        <v>2</v>
      </c>
      <c r="O1026" s="15"/>
      <c r="P1026" s="6">
        <v>43306.596608796295</v>
      </c>
      <c r="Q1026" s="17" t="s">
        <v>340</v>
      </c>
      <c r="R1026" s="16" t="s">
        <v>3763</v>
      </c>
      <c r="S1026" s="12"/>
      <c r="T1026" s="12"/>
      <c r="U1026" s="10" t="str">
        <f>HYPERLINK("https://pbs.twimg.com/profile_images/1052693653708107776/xSn6xgrU.jpg","View")</f>
        <v>View</v>
      </c>
    </row>
    <row r="1027" spans="1:21" ht="40.799999999999997">
      <c r="A1027" s="6">
        <v>43425.005266203705</v>
      </c>
      <c r="B1027" s="7" t="str">
        <f>HYPERLINK("https://twitter.com/votacanciones","@votacanciones")</f>
        <v>@votacanciones</v>
      </c>
      <c r="C1027" s="8" t="s">
        <v>3317</v>
      </c>
      <c r="D1027" s="9" t="s">
        <v>3764</v>
      </c>
      <c r="E1027" s="10" t="str">
        <f>HYPERLINK("https://twitter.com/votacanciones/status/1065154744275148801","1065154744275148801")</f>
        <v>1065154744275148801</v>
      </c>
      <c r="F1027" s="12"/>
      <c r="G1027" s="12"/>
      <c r="H1027" s="12"/>
      <c r="I1027" s="13">
        <v>0</v>
      </c>
      <c r="J1027" s="13">
        <v>0</v>
      </c>
      <c r="K1027" s="14" t="str">
        <f>HYPERLINK("http://twitter.com","Twitter Web Client")</f>
        <v>Twitter Web Client</v>
      </c>
      <c r="L1027" s="13">
        <v>316</v>
      </c>
      <c r="M1027" s="13">
        <v>468</v>
      </c>
      <c r="N1027" s="13">
        <v>6</v>
      </c>
      <c r="O1027" s="15"/>
      <c r="P1027" s="6">
        <v>41240.537951388891</v>
      </c>
      <c r="Q1027" s="17" t="s">
        <v>118</v>
      </c>
      <c r="R1027" s="16" t="s">
        <v>3765</v>
      </c>
      <c r="S1027" s="11" t="s">
        <v>3766</v>
      </c>
      <c r="T1027" s="12"/>
      <c r="U1027" s="10" t="str">
        <f>HYPERLINK("https://pbs.twimg.com/profile_images/834182358215573504/jz-4e83B.jpg","View")</f>
        <v>View</v>
      </c>
    </row>
    <row r="1028" spans="1:21" ht="30.6">
      <c r="A1028" s="6">
        <v>43425.004942129628</v>
      </c>
      <c r="B1028" s="7" t="str">
        <f>HYPERLINK("https://twitter.com/marijosanga","@marijosanga")</f>
        <v>@marijosanga</v>
      </c>
      <c r="C1028" s="8" t="s">
        <v>3767</v>
      </c>
      <c r="D1028" s="9" t="s">
        <v>3768</v>
      </c>
      <c r="E1028" s="10" t="str">
        <f>HYPERLINK("https://twitter.com/marijosanga/status/1065154628742983680","1065154628742983680")</f>
        <v>1065154628742983680</v>
      </c>
      <c r="F1028" s="12"/>
      <c r="G1028" s="12"/>
      <c r="H1028" s="12"/>
      <c r="I1028" s="13">
        <v>0</v>
      </c>
      <c r="J1028" s="13">
        <v>1</v>
      </c>
      <c r="K1028" s="14" t="str">
        <f>HYPERLINK("http://twitter.com/download/android","Twitter for Android")</f>
        <v>Twitter for Android</v>
      </c>
      <c r="L1028" s="13">
        <v>442</v>
      </c>
      <c r="M1028" s="13">
        <v>1515</v>
      </c>
      <c r="N1028" s="13">
        <v>0</v>
      </c>
      <c r="O1028" s="15"/>
      <c r="P1028" s="6">
        <v>41233.393935185188</v>
      </c>
      <c r="Q1028" s="12"/>
      <c r="R1028" s="18"/>
      <c r="S1028" s="12"/>
      <c r="T1028" s="12"/>
      <c r="U1028" s="10" t="str">
        <f>HYPERLINK("https://pbs.twimg.com/profile_images/658669769529409537/V4GbnPhn.jpg","View")</f>
        <v>View</v>
      </c>
    </row>
    <row r="1029" spans="1:21" ht="20.399999999999999">
      <c r="A1029" s="6">
        <v>43425.004872685182</v>
      </c>
      <c r="B1029" s="7" t="str">
        <f>HYPERLINK("https://twitter.com/eldiarioes","@eldiarioes")</f>
        <v>@eldiarioes</v>
      </c>
      <c r="C1029" s="20" t="s">
        <v>687</v>
      </c>
      <c r="D1029" s="9" t="s">
        <v>3769</v>
      </c>
      <c r="E1029" s="10" t="str">
        <f>HYPERLINK("https://twitter.com/eldiarioes/status/1065154602146893824","1065154602146893824")</f>
        <v>1065154602146893824</v>
      </c>
      <c r="F1029" s="11" t="s">
        <v>3770</v>
      </c>
      <c r="G1029" s="11" t="s">
        <v>3771</v>
      </c>
      <c r="H1029" s="12"/>
      <c r="I1029" s="13">
        <v>7</v>
      </c>
      <c r="J1029" s="13">
        <v>17</v>
      </c>
      <c r="K1029" s="14" t="str">
        <f>HYPERLINK("https://about.twitter.com/products/tweetdeck","TweetDeck")</f>
        <v>TweetDeck</v>
      </c>
      <c r="L1029" s="13">
        <v>936615</v>
      </c>
      <c r="M1029" s="13">
        <v>456</v>
      </c>
      <c r="N1029" s="13">
        <v>11235</v>
      </c>
      <c r="O1029" s="19" t="s">
        <v>74</v>
      </c>
      <c r="P1029" s="6">
        <v>40992.505856481483</v>
      </c>
      <c r="Q1029" s="12"/>
      <c r="R1029" s="16" t="s">
        <v>692</v>
      </c>
      <c r="S1029" s="11" t="s">
        <v>693</v>
      </c>
      <c r="T1029" s="12"/>
      <c r="U1029" s="10" t="str">
        <f>HYPERLINK("https://pbs.twimg.com/profile_images/1016600645292511232/eYIkIK2s.jpg","View")</f>
        <v>View</v>
      </c>
    </row>
    <row r="1030" spans="1:21" ht="20.399999999999999">
      <c r="A1030" s="6">
        <v>43425.003784722227</v>
      </c>
      <c r="B1030" s="7" t="str">
        <f>HYPERLINK("https://twitter.com/EvaOrue","@EvaOrue")</f>
        <v>@EvaOrue</v>
      </c>
      <c r="C1030" s="8" t="s">
        <v>3772</v>
      </c>
      <c r="D1030" s="9" t="s">
        <v>3773</v>
      </c>
      <c r="E1030" s="10" t="str">
        <f>HYPERLINK("https://twitter.com/EvaOrue/status/1065154207664218112","1065154207664218112")</f>
        <v>1065154207664218112</v>
      </c>
      <c r="F1030" s="12"/>
      <c r="G1030" s="12"/>
      <c r="H1030" s="12"/>
      <c r="I1030" s="13">
        <v>12</v>
      </c>
      <c r="J1030" s="13">
        <v>38</v>
      </c>
      <c r="K1030" s="14" t="str">
        <f>HYPERLINK("http://twitter.com","Twitter Web Client")</f>
        <v>Twitter Web Client</v>
      </c>
      <c r="L1030" s="13">
        <v>5197</v>
      </c>
      <c r="M1030" s="13">
        <v>458</v>
      </c>
      <c r="N1030" s="13">
        <v>135</v>
      </c>
      <c r="O1030" s="15"/>
      <c r="P1030" s="6">
        <v>41212.577233796299</v>
      </c>
      <c r="Q1030" s="12"/>
      <c r="R1030" s="16" t="s">
        <v>3774</v>
      </c>
      <c r="S1030" s="12"/>
      <c r="T1030" s="12"/>
      <c r="U1030" s="10" t="str">
        <f>HYPERLINK("https://pbs.twimg.com/profile_images/667037583428448256/W6DGWYN3.jpg","View")</f>
        <v>View</v>
      </c>
    </row>
    <row r="1031" spans="1:21" ht="40.799999999999997">
      <c r="A1031" s="6">
        <v>43425.003564814819</v>
      </c>
      <c r="B1031" s="7" t="str">
        <f>HYPERLINK("https://twitter.com/lamariahache","@lamariahache")</f>
        <v>@lamariahache</v>
      </c>
      <c r="C1031" s="8" t="s">
        <v>3775</v>
      </c>
      <c r="D1031" s="9" t="s">
        <v>3776</v>
      </c>
      <c r="E1031" s="10" t="str">
        <f>HYPERLINK("https://twitter.com/lamariahache/status/1065154127259475969","1065154127259475969")</f>
        <v>1065154127259475969</v>
      </c>
      <c r="F1031" s="12"/>
      <c r="G1031" s="12"/>
      <c r="H1031" s="12"/>
      <c r="I1031" s="13">
        <v>0</v>
      </c>
      <c r="J1031" s="13">
        <v>2</v>
      </c>
      <c r="K1031" s="14" t="str">
        <f t="shared" ref="K1031:K1033" si="193">HYPERLINK("http://twitter.com/download/android","Twitter for Android")</f>
        <v>Twitter for Android</v>
      </c>
      <c r="L1031" s="13">
        <v>1228</v>
      </c>
      <c r="M1031" s="13">
        <v>898</v>
      </c>
      <c r="N1031" s="13">
        <v>14</v>
      </c>
      <c r="O1031" s="15"/>
      <c r="P1031" s="6">
        <v>41956.594652777778</v>
      </c>
      <c r="Q1031" s="17" t="s">
        <v>3777</v>
      </c>
      <c r="R1031" s="16" t="s">
        <v>3778</v>
      </c>
      <c r="S1031" s="12"/>
      <c r="T1031" s="12"/>
      <c r="U1031" s="10" t="str">
        <f>HYPERLINK("https://pbs.twimg.com/profile_images/1048253087448817667/xp6QBES5.jpg","View")</f>
        <v>View</v>
      </c>
    </row>
    <row r="1032" spans="1:21" ht="51">
      <c r="A1032" s="6">
        <v>43425.001979166671</v>
      </c>
      <c r="B1032" s="7" t="str">
        <f>HYPERLINK("https://twitter.com/GabrielaBustelo","@GabrielaBustelo")</f>
        <v>@GabrielaBustelo</v>
      </c>
      <c r="C1032" s="8" t="s">
        <v>3779</v>
      </c>
      <c r="D1032" s="9" t="s">
        <v>3780</v>
      </c>
      <c r="E1032" s="10" t="str">
        <f>HYPERLINK("https://twitter.com/GabrielaBustelo/status/1065153551838715904","1065153551838715904")</f>
        <v>1065153551838715904</v>
      </c>
      <c r="F1032" s="12"/>
      <c r="G1032" s="12"/>
      <c r="H1032" s="12"/>
      <c r="I1032" s="13">
        <v>17</v>
      </c>
      <c r="J1032" s="13">
        <v>36</v>
      </c>
      <c r="K1032" s="14" t="str">
        <f t="shared" si="193"/>
        <v>Twitter for Android</v>
      </c>
      <c r="L1032" s="13">
        <v>14834</v>
      </c>
      <c r="M1032" s="13">
        <v>14756</v>
      </c>
      <c r="N1032" s="13">
        <v>222</v>
      </c>
      <c r="O1032" s="15"/>
      <c r="P1032" s="6">
        <v>42026.112592592588</v>
      </c>
      <c r="Q1032" s="17" t="s">
        <v>76</v>
      </c>
      <c r="R1032" s="16" t="s">
        <v>3781</v>
      </c>
      <c r="S1032" s="12"/>
      <c r="T1032" s="12"/>
      <c r="U1032" s="10" t="str">
        <f>HYPERLINK("https://pbs.twimg.com/profile_images/1039128417696997376/y1OM84fp.jpg","View")</f>
        <v>View</v>
      </c>
    </row>
    <row r="1033" spans="1:21" ht="30.6">
      <c r="A1033" s="6">
        <v>43424.996655092589</v>
      </c>
      <c r="B1033" s="7" t="str">
        <f>HYPERLINK("https://twitter.com/pacohortado","@pacohortado")</f>
        <v>@pacohortado</v>
      </c>
      <c r="C1033" s="8" t="s">
        <v>598</v>
      </c>
      <c r="D1033" s="9" t="s">
        <v>3782</v>
      </c>
      <c r="E1033" s="10" t="str">
        <f>HYPERLINK("https://twitter.com/pacohortado/status/1065151625008955392","1065151625008955392")</f>
        <v>1065151625008955392</v>
      </c>
      <c r="F1033" s="12"/>
      <c r="G1033" s="12"/>
      <c r="H1033" s="12"/>
      <c r="I1033" s="13">
        <v>1</v>
      </c>
      <c r="J1033" s="13">
        <v>2</v>
      </c>
      <c r="K1033" s="14" t="str">
        <f t="shared" si="193"/>
        <v>Twitter for Android</v>
      </c>
      <c r="L1033" s="13">
        <v>2494</v>
      </c>
      <c r="M1033" s="13">
        <v>1906</v>
      </c>
      <c r="N1033" s="13">
        <v>47</v>
      </c>
      <c r="O1033" s="15"/>
      <c r="P1033" s="6">
        <v>40957.509305555555</v>
      </c>
      <c r="Q1033" s="12"/>
      <c r="R1033" s="16" t="s">
        <v>600</v>
      </c>
      <c r="S1033" s="12"/>
      <c r="T1033" s="12"/>
      <c r="U1033" s="10" t="str">
        <f>HYPERLINK("https://pbs.twimg.com/profile_images/614868273948180480/ByNs7DtV.png","View")</f>
        <v>View</v>
      </c>
    </row>
    <row r="1034" spans="1:21" ht="20.399999999999999">
      <c r="A1034" s="6">
        <v>43424.991215277776</v>
      </c>
      <c r="B1034" s="7" t="str">
        <f>HYPERLINK("https://twitter.com/_tomalacalle","@_tomalacalle")</f>
        <v>@_tomalacalle</v>
      </c>
      <c r="C1034" s="8" t="s">
        <v>3783</v>
      </c>
      <c r="D1034" s="9" t="s">
        <v>3784</v>
      </c>
      <c r="E1034" s="10" t="str">
        <f>HYPERLINK("https://twitter.com/_tomalacalle/status/1065149653371490304","1065149653371490304")</f>
        <v>1065149653371490304</v>
      </c>
      <c r="F1034" s="11" t="s">
        <v>3785</v>
      </c>
      <c r="G1034" s="12"/>
      <c r="H1034" s="12"/>
      <c r="I1034" s="13">
        <v>0</v>
      </c>
      <c r="J1034" s="13">
        <v>0</v>
      </c>
      <c r="K1034" s="14" t="str">
        <f t="shared" ref="K1034:K1035" si="194">HYPERLINK("http://twitter.com","Twitter Web Client")</f>
        <v>Twitter Web Client</v>
      </c>
      <c r="L1034" s="13">
        <v>6182</v>
      </c>
      <c r="M1034" s="13">
        <v>4661</v>
      </c>
      <c r="N1034" s="13">
        <v>26</v>
      </c>
      <c r="O1034" s="15"/>
      <c r="P1034" s="6">
        <v>41656.0471412037</v>
      </c>
      <c r="Q1034" s="17" t="s">
        <v>3786</v>
      </c>
      <c r="R1034" s="16" t="s">
        <v>3787</v>
      </c>
      <c r="S1034" s="12"/>
      <c r="T1034" s="12"/>
      <c r="U1034" s="10" t="str">
        <f>HYPERLINK("https://pbs.twimg.com/profile_images/979631218642874368/ScvTTMCt.jpg","View")</f>
        <v>View</v>
      </c>
    </row>
    <row r="1035" spans="1:21" ht="40.799999999999997">
      <c r="A1035" s="6">
        <v>43424.990972222222</v>
      </c>
      <c r="B1035" s="7" t="str">
        <f>HYPERLINK("https://twitter.com/rosamariaartal","@rosamariaartal")</f>
        <v>@rosamariaartal</v>
      </c>
      <c r="C1035" s="8" t="s">
        <v>1037</v>
      </c>
      <c r="D1035" s="9" t="s">
        <v>3788</v>
      </c>
      <c r="E1035" s="10" t="str">
        <f>HYPERLINK("https://twitter.com/rosamariaartal/status/1065149566712991744","1065149566712991744")</f>
        <v>1065149566712991744</v>
      </c>
      <c r="F1035" s="11" t="s">
        <v>3752</v>
      </c>
      <c r="G1035" s="12"/>
      <c r="H1035" s="12"/>
      <c r="I1035" s="13">
        <v>236</v>
      </c>
      <c r="J1035" s="13">
        <v>350</v>
      </c>
      <c r="K1035" s="14" t="str">
        <f t="shared" si="194"/>
        <v>Twitter Web Client</v>
      </c>
      <c r="L1035" s="13">
        <v>103731</v>
      </c>
      <c r="M1035" s="13">
        <v>3006</v>
      </c>
      <c r="N1035" s="13">
        <v>2702</v>
      </c>
      <c r="O1035" s="15"/>
      <c r="P1035" s="6">
        <v>40094.444687499999</v>
      </c>
      <c r="Q1035" s="17" t="s">
        <v>203</v>
      </c>
      <c r="R1035" s="16" t="s">
        <v>1039</v>
      </c>
      <c r="S1035" s="11" t="s">
        <v>1040</v>
      </c>
      <c r="T1035" s="12"/>
      <c r="U1035" s="10" t="str">
        <f>HYPERLINK("https://pbs.twimg.com/profile_images/780888265238974464/fOR4WuD5.jpg","View")</f>
        <v>View</v>
      </c>
    </row>
    <row r="1036" spans="1:21" ht="40.799999999999997">
      <c r="A1036" s="6">
        <v>43424.98946759259</v>
      </c>
      <c r="B1036" s="7" t="str">
        <f>HYPERLINK("https://twitter.com/sedlr_","@sedlr_")</f>
        <v>@sedlr_</v>
      </c>
      <c r="C1036" s="8" t="s">
        <v>3789</v>
      </c>
      <c r="D1036" s="9" t="s">
        <v>3790</v>
      </c>
      <c r="E1036" s="10" t="str">
        <f>HYPERLINK("https://twitter.com/sedlr_/status/1065149018609721345","1065149018609721345")</f>
        <v>1065149018609721345</v>
      </c>
      <c r="F1036" s="17" t="s">
        <v>3791</v>
      </c>
      <c r="G1036" s="12"/>
      <c r="H1036" s="12"/>
      <c r="I1036" s="13">
        <v>1</v>
      </c>
      <c r="J1036" s="13">
        <v>2</v>
      </c>
      <c r="K1036" s="14" t="str">
        <f t="shared" ref="K1036:K1037" si="195">HYPERLINK("http://twitter.com/download/android","Twitter for Android")</f>
        <v>Twitter for Android</v>
      </c>
      <c r="L1036" s="13">
        <v>7672</v>
      </c>
      <c r="M1036" s="13">
        <v>7325</v>
      </c>
      <c r="N1036" s="13">
        <v>33</v>
      </c>
      <c r="O1036" s="15"/>
      <c r="P1036" s="6">
        <v>41250.318912037037</v>
      </c>
      <c r="Q1036" s="17" t="s">
        <v>60</v>
      </c>
      <c r="R1036" s="18"/>
      <c r="S1036" s="12"/>
      <c r="T1036" s="12"/>
      <c r="U1036" s="10" t="str">
        <f>HYPERLINK("https://pbs.twimg.com/profile_images/1026984752270782464/dquFa8_K.jpg","View")</f>
        <v>View</v>
      </c>
    </row>
    <row r="1037" spans="1:21" ht="40.799999999999997">
      <c r="A1037" s="6">
        <v>43424.989340277782</v>
      </c>
      <c r="B1037" s="7" t="str">
        <f>HYPERLINK("https://twitter.com/ehbildugasteiz","@ehbildugasteiz")</f>
        <v>@ehbildugasteiz</v>
      </c>
      <c r="C1037" s="8" t="s">
        <v>3792</v>
      </c>
      <c r="D1037" s="9" t="s">
        <v>3793</v>
      </c>
      <c r="E1037" s="10" t="str">
        <f>HYPERLINK("https://twitter.com/ehbildugasteiz/status/1065148972711510017","1065148972711510017")</f>
        <v>1065148972711510017</v>
      </c>
      <c r="F1037" s="12"/>
      <c r="G1037" s="11" t="s">
        <v>3794</v>
      </c>
      <c r="H1037" s="12"/>
      <c r="I1037" s="13">
        <v>2</v>
      </c>
      <c r="J1037" s="13">
        <v>0</v>
      </c>
      <c r="K1037" s="14" t="str">
        <f t="shared" si="195"/>
        <v>Twitter for Android</v>
      </c>
      <c r="L1037" s="13">
        <v>4176</v>
      </c>
      <c r="M1037" s="13">
        <v>2385</v>
      </c>
      <c r="N1037" s="13">
        <v>76</v>
      </c>
      <c r="O1037" s="15"/>
      <c r="P1037" s="6">
        <v>40736.206967592589</v>
      </c>
      <c r="Q1037" s="17" t="s">
        <v>726</v>
      </c>
      <c r="R1037" s="16" t="s">
        <v>3795</v>
      </c>
      <c r="S1037" s="11" t="s">
        <v>3796</v>
      </c>
      <c r="T1037" s="12"/>
      <c r="U1037" s="10" t="str">
        <f>HYPERLINK("https://pbs.twimg.com/profile_images/1065848298492362753/lksFhcmO.jpg","View")</f>
        <v>View</v>
      </c>
    </row>
    <row r="1038" spans="1:21" ht="40.799999999999997">
      <c r="A1038" s="6">
        <v>43424.981678240743</v>
      </c>
      <c r="B1038" s="7" t="str">
        <f>HYPERLINK("https://twitter.com/_carloscam_","@_carloscam_")</f>
        <v>@_carloscam_</v>
      </c>
      <c r="C1038" s="8" t="s">
        <v>3797</v>
      </c>
      <c r="D1038" s="9" t="s">
        <v>3798</v>
      </c>
      <c r="E1038" s="10" t="str">
        <f>HYPERLINK("https://twitter.com/_carloscam_/status/1065146196963008513","1065146196963008513")</f>
        <v>1065146196963008513</v>
      </c>
      <c r="F1038" s="11" t="s">
        <v>3799</v>
      </c>
      <c r="G1038" s="12"/>
      <c r="H1038" s="12"/>
      <c r="I1038" s="13">
        <v>0</v>
      </c>
      <c r="J1038" s="13">
        <v>0</v>
      </c>
      <c r="K1038" s="14" t="str">
        <f>HYPERLINK("https://about.twitter.com/products/tweetdeck","TweetDeck")</f>
        <v>TweetDeck</v>
      </c>
      <c r="L1038" s="13">
        <v>3162</v>
      </c>
      <c r="M1038" s="13">
        <v>930</v>
      </c>
      <c r="N1038" s="13">
        <v>139</v>
      </c>
      <c r="O1038" s="15"/>
      <c r="P1038" s="6">
        <v>39973.545729166668</v>
      </c>
      <c r="Q1038" s="17" t="s">
        <v>26</v>
      </c>
      <c r="R1038" s="16" t="s">
        <v>3800</v>
      </c>
      <c r="S1038" s="11" t="s">
        <v>3801</v>
      </c>
      <c r="T1038" s="12"/>
      <c r="U1038" s="10" t="str">
        <f>HYPERLINK("https://pbs.twimg.com/profile_images/1064463572963663872/MjW7f4Ug.jpg","View")</f>
        <v>View</v>
      </c>
    </row>
    <row r="1039" spans="1:21" ht="30.6">
      <c r="A1039" s="6">
        <v>43424.978090277778</v>
      </c>
      <c r="B1039" s="7" t="str">
        <f>HYPERLINK("https://twitter.com/marianofake","@marianofake")</f>
        <v>@marianofake</v>
      </c>
      <c r="C1039" s="8" t="s">
        <v>544</v>
      </c>
      <c r="D1039" s="9" t="s">
        <v>3803</v>
      </c>
      <c r="E1039" s="10" t="str">
        <f>HYPERLINK("https://twitter.com/marianofake/status/1065144896435163137","1065144896435163137")</f>
        <v>1065144896435163137</v>
      </c>
      <c r="F1039" s="12"/>
      <c r="G1039" s="12"/>
      <c r="H1039" s="12"/>
      <c r="I1039" s="13">
        <v>16</v>
      </c>
      <c r="J1039" s="13">
        <v>30</v>
      </c>
      <c r="K1039" s="14" t="str">
        <f>HYPERLINK("http://twitter.com","Twitter Web Client")</f>
        <v>Twitter Web Client</v>
      </c>
      <c r="L1039" s="13">
        <v>6041</v>
      </c>
      <c r="M1039" s="13">
        <v>3162</v>
      </c>
      <c r="N1039" s="13">
        <v>19</v>
      </c>
      <c r="O1039" s="15"/>
      <c r="P1039" s="6">
        <v>42101.300752314812</v>
      </c>
      <c r="Q1039" s="12"/>
      <c r="R1039" s="16" t="s">
        <v>547</v>
      </c>
      <c r="S1039" s="12"/>
      <c r="T1039" s="12"/>
      <c r="U1039" s="10" t="str">
        <f>HYPERLINK("https://pbs.twimg.com/profile_images/865123852795367424/p4pK2M21.jpg","View")</f>
        <v>View</v>
      </c>
    </row>
    <row r="1040" spans="1:21" ht="91.8">
      <c r="A1040" s="6">
        <v>43424.974305555559</v>
      </c>
      <c r="B1040" s="7" t="str">
        <f>HYPERLINK("https://twitter.com/laredjuridica","@laredjuridica")</f>
        <v>@laredjuridica</v>
      </c>
      <c r="C1040" s="8" t="s">
        <v>3804</v>
      </c>
      <c r="D1040" s="9" t="s">
        <v>3805</v>
      </c>
      <c r="E1040" s="10" t="str">
        <f>HYPERLINK("https://twitter.com/laredjuridica/status/1065143524688125952","1065143524688125952")</f>
        <v>1065143524688125952</v>
      </c>
      <c r="F1040" s="11" t="s">
        <v>2578</v>
      </c>
      <c r="G1040" s="11" t="s">
        <v>2579</v>
      </c>
      <c r="H1040" s="12"/>
      <c r="I1040" s="13">
        <v>193</v>
      </c>
      <c r="J1040" s="13">
        <v>107</v>
      </c>
      <c r="K1040" s="14" t="str">
        <f>HYPERLINK("http://twitter.com/download/android","Twitter for Android")</f>
        <v>Twitter for Android</v>
      </c>
      <c r="L1040" s="13">
        <v>10716</v>
      </c>
      <c r="M1040" s="13">
        <v>1822</v>
      </c>
      <c r="N1040" s="13">
        <v>221</v>
      </c>
      <c r="O1040" s="15"/>
      <c r="P1040" s="6">
        <v>40683.100138888891</v>
      </c>
      <c r="Q1040" s="17" t="s">
        <v>3806</v>
      </c>
      <c r="R1040" s="16" t="s">
        <v>3807</v>
      </c>
      <c r="S1040" s="11" t="s">
        <v>3808</v>
      </c>
      <c r="T1040" s="12"/>
      <c r="U1040" s="10" t="str">
        <f>HYPERLINK("https://pbs.twimg.com/profile_images/972034023429111808/rVQyXJcb.jpg","View")</f>
        <v>View</v>
      </c>
    </row>
    <row r="1041" spans="1:21" ht="30.6">
      <c r="A1041" s="6">
        <v>43424.972731481481</v>
      </c>
      <c r="B1041" s="7" t="str">
        <f>HYPERLINK("https://twitter.com/ARdeArellano","@ARdeArellano")</f>
        <v>@ARdeArellano</v>
      </c>
      <c r="C1041" s="8" t="s">
        <v>3809</v>
      </c>
      <c r="D1041" s="9" t="s">
        <v>3810</v>
      </c>
      <c r="E1041" s="10" t="str">
        <f>HYPERLINK("https://twitter.com/ARdeArellano/status/1065142953738493952","1065142953738493952")</f>
        <v>1065142953738493952</v>
      </c>
      <c r="F1041" s="11" t="s">
        <v>3611</v>
      </c>
      <c r="G1041" s="12"/>
      <c r="H1041" s="12"/>
      <c r="I1041" s="13">
        <v>3</v>
      </c>
      <c r="J1041" s="13">
        <v>2</v>
      </c>
      <c r="K1041" s="14" t="str">
        <f>HYPERLINK("http://twitter.com/download/iphone","Twitter for iPhone")</f>
        <v>Twitter for iPhone</v>
      </c>
      <c r="L1041" s="13">
        <v>2066</v>
      </c>
      <c r="M1041" s="13">
        <v>164</v>
      </c>
      <c r="N1041" s="13">
        <v>25</v>
      </c>
      <c r="O1041" s="15"/>
      <c r="P1041" s="6">
        <v>42175.470393518517</v>
      </c>
      <c r="Q1041" s="12"/>
      <c r="R1041" s="16" t="s">
        <v>3811</v>
      </c>
      <c r="S1041" s="12"/>
      <c r="T1041" s="12"/>
      <c r="U1041" s="10" t="str">
        <f>HYPERLINK("https://pbs.twimg.com/profile_images/744989328393277442/4xjih6J9.jpg","View")</f>
        <v>View</v>
      </c>
    </row>
    <row r="1042" spans="1:21" ht="20.399999999999999">
      <c r="A1042" s="6">
        <v>43424.967372685191</v>
      </c>
      <c r="B1042" s="7" t="str">
        <f>HYPERLINK("https://twitter.com/mrexplorador","@mrexplorador")</f>
        <v>@mrexplorador</v>
      </c>
      <c r="C1042" s="8" t="s">
        <v>3812</v>
      </c>
      <c r="D1042" s="9" t="s">
        <v>245</v>
      </c>
      <c r="E1042" s="10" t="str">
        <f>HYPERLINK("https://twitter.com/mrexplorador/status/1065141012987826176","1065141012987826176")</f>
        <v>1065141012987826176</v>
      </c>
      <c r="F1042" s="11" t="s">
        <v>246</v>
      </c>
      <c r="G1042" s="12"/>
      <c r="H1042" s="12"/>
      <c r="I1042" s="13">
        <v>0</v>
      </c>
      <c r="J1042" s="13">
        <v>0</v>
      </c>
      <c r="K1042" s="14" t="str">
        <f>HYPERLINK("http://twitter.com/#!/download/ipad","Twitter for iPad")</f>
        <v>Twitter for iPad</v>
      </c>
      <c r="L1042" s="13">
        <v>656</v>
      </c>
      <c r="M1042" s="13">
        <v>299</v>
      </c>
      <c r="N1042" s="13">
        <v>2</v>
      </c>
      <c r="O1042" s="15"/>
      <c r="P1042" s="6">
        <v>43198.358622685184</v>
      </c>
      <c r="Q1042" s="12"/>
      <c r="R1042" s="18"/>
      <c r="S1042" s="12"/>
      <c r="T1042" s="12"/>
      <c r="U1042" s="10" t="str">
        <f>HYPERLINK("https://pbs.twimg.com/profile_images/983029093007577089/NCDg8wbO.jpg","View")</f>
        <v>View</v>
      </c>
    </row>
    <row r="1043" spans="1:21" ht="30.6">
      <c r="A1043" s="6">
        <v>43424.967268518521</v>
      </c>
      <c r="B1043" s="7" t="str">
        <f>HYPERLINK("https://twitter.com/ageofmaider","@ageofmaider")</f>
        <v>@ageofmaider</v>
      </c>
      <c r="C1043" s="8" t="s">
        <v>3813</v>
      </c>
      <c r="D1043" s="9" t="s">
        <v>3814</v>
      </c>
      <c r="E1043" s="10" t="str">
        <f>HYPERLINK("https://twitter.com/ageofmaider/status/1065140976581259267","1065140976581259267")</f>
        <v>1065140976581259267</v>
      </c>
      <c r="F1043" s="12"/>
      <c r="G1043" s="11" t="s">
        <v>3815</v>
      </c>
      <c r="H1043" s="12"/>
      <c r="I1043" s="13">
        <v>0</v>
      </c>
      <c r="J1043" s="13">
        <v>0</v>
      </c>
      <c r="K1043" s="14" t="str">
        <f>HYPERLINK("http://twitter.com/download/android","Twitter for Android")</f>
        <v>Twitter for Android</v>
      </c>
      <c r="L1043" s="13">
        <v>37</v>
      </c>
      <c r="M1043" s="13">
        <v>103</v>
      </c>
      <c r="N1043" s="13">
        <v>0</v>
      </c>
      <c r="O1043" s="15"/>
      <c r="P1043" s="6">
        <v>42794.35087962963</v>
      </c>
      <c r="Q1043" s="17" t="s">
        <v>3816</v>
      </c>
      <c r="R1043" s="16" t="s">
        <v>3817</v>
      </c>
      <c r="S1043" s="11" t="s">
        <v>3818</v>
      </c>
      <c r="T1043" s="12"/>
      <c r="U1043" s="10" t="str">
        <f>HYPERLINK("https://pbs.twimg.com/profile_images/1061335747750477824/AFGTZPUr.jpg","View")</f>
        <v>View</v>
      </c>
    </row>
    <row r="1044" spans="1:21" ht="40.799999999999997">
      <c r="A1044" s="6">
        <v>43424.961458333331</v>
      </c>
      <c r="B1044" s="7" t="str">
        <f>HYPERLINK("https://twitter.com/wizfun","@wizfun")</f>
        <v>@wizfun</v>
      </c>
      <c r="C1044" s="8" t="s">
        <v>3819</v>
      </c>
      <c r="D1044" s="9" t="s">
        <v>3820</v>
      </c>
      <c r="E1044" s="10" t="str">
        <f>HYPERLINK("https://twitter.com/wizfun/status/1065138869539168256","1065138869539168256")</f>
        <v>1065138869539168256</v>
      </c>
      <c r="F1044" s="11" t="s">
        <v>3821</v>
      </c>
      <c r="G1044" s="12"/>
      <c r="H1044" s="12"/>
      <c r="I1044" s="13">
        <v>0</v>
      </c>
      <c r="J1044" s="13">
        <v>0</v>
      </c>
      <c r="K1044" s="14" t="str">
        <f>HYPERLINK("http://twitter.com","Twitter Web Client")</f>
        <v>Twitter Web Client</v>
      </c>
      <c r="L1044" s="13">
        <v>202</v>
      </c>
      <c r="M1044" s="13">
        <v>291</v>
      </c>
      <c r="N1044" s="13">
        <v>13</v>
      </c>
      <c r="O1044" s="15"/>
      <c r="P1044" s="6">
        <v>40266.42596064815</v>
      </c>
      <c r="Q1044" s="17" t="s">
        <v>29</v>
      </c>
      <c r="R1044" s="16" t="s">
        <v>3822</v>
      </c>
      <c r="S1044" s="11" t="s">
        <v>3823</v>
      </c>
      <c r="T1044" s="12"/>
      <c r="U1044" s="10" t="str">
        <f>HYPERLINK("https://pbs.twimg.com/profile_images/1200922608/39422f431da47e9d825fb425d6cbae8136226167.jpg","View")</f>
        <v>View</v>
      </c>
    </row>
    <row r="1045" spans="1:21" ht="20.399999999999999">
      <c r="A1045" s="6">
        <v>43424.959039351852</v>
      </c>
      <c r="B1045" s="7" t="str">
        <f>HYPERLINK("https://twitter.com/voz_populi","@voz_populi")</f>
        <v>@voz_populi</v>
      </c>
      <c r="C1045" s="8" t="s">
        <v>3239</v>
      </c>
      <c r="D1045" s="9" t="s">
        <v>3824</v>
      </c>
      <c r="E1045" s="10" t="str">
        <f>HYPERLINK("https://twitter.com/voz_populi/status/1065137993030279168","1065137993030279168")</f>
        <v>1065137993030279168</v>
      </c>
      <c r="F1045" s="11" t="s">
        <v>3825</v>
      </c>
      <c r="G1045" s="12"/>
      <c r="H1045" s="12"/>
      <c r="I1045" s="13">
        <v>4</v>
      </c>
      <c r="J1045" s="13">
        <v>0</v>
      </c>
      <c r="K1045" s="14" t="str">
        <f>HYPERLINK("https://buffer.com","Buffer")</f>
        <v>Buffer</v>
      </c>
      <c r="L1045" s="13">
        <v>92736</v>
      </c>
      <c r="M1045" s="13">
        <v>1393</v>
      </c>
      <c r="N1045" s="13">
        <v>2701</v>
      </c>
      <c r="O1045" s="19" t="s">
        <v>74</v>
      </c>
      <c r="P1045" s="6">
        <v>40792.210856481484</v>
      </c>
      <c r="Q1045" s="12"/>
      <c r="R1045" s="16" t="s">
        <v>3242</v>
      </c>
      <c r="S1045" s="11" t="s">
        <v>3243</v>
      </c>
      <c r="T1045" s="12"/>
      <c r="U1045" s="10" t="str">
        <f>HYPERLINK("https://pbs.twimg.com/profile_images/1006562248830144512/xFizZY0L.jpg","View")</f>
        <v>View</v>
      </c>
    </row>
    <row r="1046" spans="1:21" ht="30.6">
      <c r="A1046" s="6">
        <v>43424.958854166667</v>
      </c>
      <c r="B1046" s="7" t="str">
        <f>HYPERLINK("https://twitter.com/silviasxan","@silviasxan")</f>
        <v>@silviasxan</v>
      </c>
      <c r="C1046" s="8" t="s">
        <v>3826</v>
      </c>
      <c r="D1046" s="9" t="s">
        <v>3827</v>
      </c>
      <c r="E1046" s="10" t="str">
        <f>HYPERLINK("https://twitter.com/silviasxan/status/1065137925195747328","1065137925195747328")</f>
        <v>1065137925195747328</v>
      </c>
      <c r="F1046" s="12"/>
      <c r="G1046" s="12"/>
      <c r="H1046" s="12"/>
      <c r="I1046" s="13">
        <v>0</v>
      </c>
      <c r="J1046" s="13">
        <v>1</v>
      </c>
      <c r="K1046" s="14" t="str">
        <f>HYPERLINK("http://twitter.com/download/android","Twitter for Android")</f>
        <v>Twitter for Android</v>
      </c>
      <c r="L1046" s="13">
        <v>78</v>
      </c>
      <c r="M1046" s="13">
        <v>128</v>
      </c>
      <c r="N1046" s="13">
        <v>0</v>
      </c>
      <c r="O1046" s="15"/>
      <c r="P1046" s="6">
        <v>42301.124074074076</v>
      </c>
      <c r="Q1046" s="17" t="s">
        <v>3828</v>
      </c>
      <c r="R1046" s="16" t="s">
        <v>3829</v>
      </c>
      <c r="S1046" s="12"/>
      <c r="T1046" s="12"/>
      <c r="U1046" s="10" t="str">
        <f>HYPERLINK("https://pbs.twimg.com/profile_images/1038149049009025024/RPEoysH9.jpg","View")</f>
        <v>View</v>
      </c>
    </row>
    <row r="1047" spans="1:21" ht="51">
      <c r="A1047" s="6">
        <v>43424.955520833333</v>
      </c>
      <c r="B1047" s="7" t="str">
        <f>HYPERLINK("https://twitter.com/MarkTwa01197091","@MarkTwa01197091")</f>
        <v>@MarkTwa01197091</v>
      </c>
      <c r="C1047" s="8" t="s">
        <v>3830</v>
      </c>
      <c r="D1047" s="9" t="s">
        <v>3831</v>
      </c>
      <c r="E1047" s="10" t="str">
        <f>HYPERLINK("https://twitter.com/MarkTwa01197091/status/1065136719631126528","1065136719631126528")</f>
        <v>1065136719631126528</v>
      </c>
      <c r="F1047" s="11" t="s">
        <v>3832</v>
      </c>
      <c r="G1047" s="12"/>
      <c r="H1047" s="12"/>
      <c r="I1047" s="13">
        <v>10</v>
      </c>
      <c r="J1047" s="13">
        <v>8</v>
      </c>
      <c r="K1047" s="14" t="str">
        <f>HYPERLINK("http://twitter.com/#!/download/ipad","Twitter for iPad")</f>
        <v>Twitter for iPad</v>
      </c>
      <c r="L1047" s="13">
        <v>2988</v>
      </c>
      <c r="M1047" s="13">
        <v>3139</v>
      </c>
      <c r="N1047" s="13">
        <v>1</v>
      </c>
      <c r="O1047" s="15"/>
      <c r="P1047" s="6">
        <v>42981.600798611107</v>
      </c>
      <c r="Q1047" s="12"/>
      <c r="R1047" s="18"/>
      <c r="S1047" s="12"/>
      <c r="T1047" s="12"/>
      <c r="U1047" s="10" t="str">
        <f>HYPERLINK("https://pbs.twimg.com/profile_images/924915232975269893/uTB0Tkzs.jpg","View")</f>
        <v>View</v>
      </c>
    </row>
    <row r="1048" spans="1:21" ht="13.2">
      <c r="A1048" s="6">
        <v>43424.949930555551</v>
      </c>
      <c r="B1048" s="7" t="str">
        <f>HYPERLINK("https://twitter.com/loscalvitos","@loscalvitos")</f>
        <v>@loscalvitos</v>
      </c>
      <c r="C1048" s="8" t="s">
        <v>3834</v>
      </c>
      <c r="D1048" s="9" t="s">
        <v>3835</v>
      </c>
      <c r="E1048" s="10" t="str">
        <f>HYPERLINK("https://twitter.com/loscalvitos/status/1065134691982938112","1065134691982938112")</f>
        <v>1065134691982938112</v>
      </c>
      <c r="F1048" s="11" t="s">
        <v>3368</v>
      </c>
      <c r="G1048" s="11" t="s">
        <v>3836</v>
      </c>
      <c r="H1048" s="12"/>
      <c r="I1048" s="13">
        <v>11</v>
      </c>
      <c r="J1048" s="13">
        <v>6</v>
      </c>
      <c r="K1048" s="14" t="str">
        <f>HYPERLINK("http://twitter.com","Twitter Web Client")</f>
        <v>Twitter Web Client</v>
      </c>
      <c r="L1048" s="13">
        <v>434</v>
      </c>
      <c r="M1048" s="13">
        <v>189</v>
      </c>
      <c r="N1048" s="13">
        <v>16</v>
      </c>
      <c r="O1048" s="15"/>
      <c r="P1048" s="6">
        <v>42604.327557870369</v>
      </c>
      <c r="Q1048" s="12"/>
      <c r="R1048" s="18"/>
      <c r="S1048" s="12"/>
      <c r="T1048" s="12"/>
      <c r="U1048" s="10" t="str">
        <f>HYPERLINK("https://pbs.twimg.com/profile_images/985977576815513601/cjodD9Rh.jpg","View")</f>
        <v>View</v>
      </c>
    </row>
    <row r="1049" spans="1:21" ht="40.799999999999997">
      <c r="A1049" s="6">
        <v>43424.934583333335</v>
      </c>
      <c r="B1049" s="7" t="str">
        <f>HYPERLINK("https://twitter.com/excometals","@excometals")</f>
        <v>@excometals</v>
      </c>
      <c r="C1049" s="8" t="s">
        <v>3837</v>
      </c>
      <c r="D1049" s="9" t="s">
        <v>3838</v>
      </c>
      <c r="E1049" s="10" t="str">
        <f>HYPERLINK("https://twitter.com/excometals/status/1065129129497059328","1065129129497059328")</f>
        <v>1065129129497059328</v>
      </c>
      <c r="F1049" s="11" t="s">
        <v>3839</v>
      </c>
      <c r="G1049" s="12"/>
      <c r="H1049" s="12"/>
      <c r="I1049" s="13">
        <v>0</v>
      </c>
      <c r="J1049" s="13">
        <v>0</v>
      </c>
      <c r="K1049" s="14" t="str">
        <f>HYPERLINK("http://www.facebook.com/twitter","Facebook")</f>
        <v>Facebook</v>
      </c>
      <c r="L1049" s="13">
        <v>955</v>
      </c>
      <c r="M1049" s="13">
        <v>497</v>
      </c>
      <c r="N1049" s="13">
        <v>57</v>
      </c>
      <c r="O1049" s="15"/>
      <c r="P1049" s="6">
        <v>40623.363113425927</v>
      </c>
      <c r="Q1049" s="17" t="s">
        <v>29</v>
      </c>
      <c r="R1049" s="18"/>
      <c r="S1049" s="11" t="s">
        <v>3840</v>
      </c>
      <c r="T1049" s="12"/>
      <c r="U1049" s="10" t="str">
        <f>HYPERLINK("https://pbs.twimg.com/profile_images/1046250365228863488/Zl0YB5zT.jpg","View")</f>
        <v>View</v>
      </c>
    </row>
    <row r="1050" spans="1:21" ht="30.6">
      <c r="A1050" s="6">
        <v>43424.930150462962</v>
      </c>
      <c r="B1050" s="7" t="str">
        <f>HYPERLINK("https://twitter.com/kiddo_the","@kiddo_the")</f>
        <v>@kiddo_the</v>
      </c>
      <c r="C1050" s="8" t="s">
        <v>3841</v>
      </c>
      <c r="D1050" s="9" t="s">
        <v>3252</v>
      </c>
      <c r="E1050" s="10" t="str">
        <f>HYPERLINK("https://twitter.com/kiddo_the/status/1065127526001979393","1065127526001979393")</f>
        <v>1065127526001979393</v>
      </c>
      <c r="F1050" s="11" t="s">
        <v>3235</v>
      </c>
      <c r="G1050" s="12"/>
      <c r="H1050" s="12"/>
      <c r="I1050" s="13">
        <v>0</v>
      </c>
      <c r="J1050" s="13">
        <v>0</v>
      </c>
      <c r="K1050" s="14" t="str">
        <f>HYPERLINK("http://twitter.com/download/android","Twitter for Android")</f>
        <v>Twitter for Android</v>
      </c>
      <c r="L1050" s="13">
        <v>1129</v>
      </c>
      <c r="M1050" s="13">
        <v>1512</v>
      </c>
      <c r="N1050" s="13">
        <v>13</v>
      </c>
      <c r="O1050" s="15"/>
      <c r="P1050" s="6">
        <v>42101.155821759261</v>
      </c>
      <c r="Q1050" s="17" t="s">
        <v>26</v>
      </c>
      <c r="R1050" s="16" t="s">
        <v>3842</v>
      </c>
      <c r="S1050" s="12"/>
      <c r="T1050" s="12"/>
      <c r="U1050" s="10" t="str">
        <f>HYPERLINK("https://pbs.twimg.com/profile_images/917787207792021504/oCthRWjS.jpg","View")</f>
        <v>View</v>
      </c>
    </row>
    <row r="1051" spans="1:21" ht="40.799999999999997">
      <c r="A1051" s="6">
        <v>43424.926111111112</v>
      </c>
      <c r="B1051" s="7" t="str">
        <f>HYPERLINK("https://twitter.com/Etnosistema","@Etnosistema")</f>
        <v>@Etnosistema</v>
      </c>
      <c r="C1051" s="8" t="s">
        <v>3843</v>
      </c>
      <c r="D1051" s="9" t="s">
        <v>3844</v>
      </c>
      <c r="E1051" s="10" t="str">
        <f>HYPERLINK("https://twitter.com/Etnosistema/status/1065126060617068544","1065126060617068544")</f>
        <v>1065126060617068544</v>
      </c>
      <c r="F1051" s="11" t="s">
        <v>3633</v>
      </c>
      <c r="G1051" s="12"/>
      <c r="H1051" s="12"/>
      <c r="I1051" s="13">
        <v>1</v>
      </c>
      <c r="J1051" s="13">
        <v>0</v>
      </c>
      <c r="K1051" s="14" t="str">
        <f t="shared" ref="K1051:K1052" si="196">HYPERLINK("http://twitter.com","Twitter Web Client")</f>
        <v>Twitter Web Client</v>
      </c>
      <c r="L1051" s="13">
        <v>966</v>
      </c>
      <c r="M1051" s="13">
        <v>2936</v>
      </c>
      <c r="N1051" s="13">
        <v>14</v>
      </c>
      <c r="O1051" s="15"/>
      <c r="P1051" s="6">
        <v>41006.129953703705</v>
      </c>
      <c r="Q1051" s="17" t="s">
        <v>3846</v>
      </c>
      <c r="R1051" s="16" t="s">
        <v>3847</v>
      </c>
      <c r="S1051" s="11" t="s">
        <v>3848</v>
      </c>
      <c r="T1051" s="12"/>
      <c r="U1051" s="10" t="str">
        <f>HYPERLINK("https://pbs.twimg.com/profile_images/1064901662593245185/oesNLIV1.jpg","View")</f>
        <v>View</v>
      </c>
    </row>
    <row r="1052" spans="1:21" ht="13.2">
      <c r="A1052" s="6">
        <v>43424.924386574072</v>
      </c>
      <c r="B1052" s="7" t="str">
        <f>HYPERLINK("https://twitter.com/Albertuflo","@Albertuflo")</f>
        <v>@Albertuflo</v>
      </c>
      <c r="C1052" s="8" t="s">
        <v>3849</v>
      </c>
      <c r="D1052" s="9" t="s">
        <v>3367</v>
      </c>
      <c r="E1052" s="10" t="str">
        <f>HYPERLINK("https://twitter.com/Albertuflo/status/1065125436471025664","1065125436471025664")</f>
        <v>1065125436471025664</v>
      </c>
      <c r="F1052" s="11" t="s">
        <v>3368</v>
      </c>
      <c r="G1052" s="12"/>
      <c r="H1052" s="12"/>
      <c r="I1052" s="13">
        <v>1</v>
      </c>
      <c r="J1052" s="13">
        <v>1</v>
      </c>
      <c r="K1052" s="14" t="str">
        <f t="shared" si="196"/>
        <v>Twitter Web Client</v>
      </c>
      <c r="L1052" s="13">
        <v>1401</v>
      </c>
      <c r="M1052" s="13">
        <v>873</v>
      </c>
      <c r="N1052" s="13">
        <v>27</v>
      </c>
      <c r="O1052" s="15"/>
      <c r="P1052" s="6">
        <v>40784.069699074076</v>
      </c>
      <c r="Q1052" s="17" t="s">
        <v>76</v>
      </c>
      <c r="R1052" s="18"/>
      <c r="S1052" s="12"/>
      <c r="T1052" s="12"/>
      <c r="U1052" s="10" t="str">
        <f>HYPERLINK("https://pbs.twimg.com/profile_images/649716390329499648/Hct_hc16.jpg","View")</f>
        <v>View</v>
      </c>
    </row>
    <row r="1053" spans="1:21" ht="30.6">
      <c r="A1053" s="6">
        <v>43424.923842592594</v>
      </c>
      <c r="B1053" s="7" t="str">
        <f>HYPERLINK("https://twitter.com/LibertadFMradio","@LibertadFMradio")</f>
        <v>@LibertadFMradio</v>
      </c>
      <c r="C1053" s="8" t="s">
        <v>3676</v>
      </c>
      <c r="D1053" s="9" t="s">
        <v>3850</v>
      </c>
      <c r="E1053" s="10" t="str">
        <f>HYPERLINK("https://twitter.com/LibertadFMradio/status/1065125236281090048","1065125236281090048")</f>
        <v>1065125236281090048</v>
      </c>
      <c r="F1053" s="11" t="s">
        <v>3851</v>
      </c>
      <c r="G1053" s="12"/>
      <c r="H1053" s="12"/>
      <c r="I1053" s="13">
        <v>0</v>
      </c>
      <c r="J1053" s="13">
        <v>0</v>
      </c>
      <c r="K1053" s="14" t="str">
        <f>HYPERLINK("http://www.facebook.com/twitter","Facebook")</f>
        <v>Facebook</v>
      </c>
      <c r="L1053" s="13">
        <v>31271</v>
      </c>
      <c r="M1053" s="13">
        <v>1207</v>
      </c>
      <c r="N1053" s="13">
        <v>326</v>
      </c>
      <c r="O1053" s="19" t="s">
        <v>74</v>
      </c>
      <c r="P1053" s="6">
        <v>40924.544895833329</v>
      </c>
      <c r="Q1053" s="17" t="s">
        <v>29</v>
      </c>
      <c r="R1053" s="16" t="s">
        <v>3679</v>
      </c>
      <c r="S1053" s="11" t="s">
        <v>3680</v>
      </c>
      <c r="T1053" s="12"/>
      <c r="U1053" s="10" t="str">
        <f>HYPERLINK("https://pbs.twimg.com/profile_images/1059761011580944384/SJ-nEtNI.jpg","View")</f>
        <v>View</v>
      </c>
    </row>
    <row r="1054" spans="1:21" ht="20.399999999999999">
      <c r="A1054" s="6">
        <v>43424.911157407405</v>
      </c>
      <c r="B1054" s="7" t="str">
        <f>HYPERLINK("https://twitter.com/mathusal9","@mathusal9")</f>
        <v>@mathusal9</v>
      </c>
      <c r="C1054" s="8" t="s">
        <v>3852</v>
      </c>
      <c r="D1054" s="9" t="s">
        <v>3252</v>
      </c>
      <c r="E1054" s="10" t="str">
        <f>HYPERLINK("https://twitter.com/mathusal9/status/1065120641542746112","1065120641542746112")</f>
        <v>1065120641542746112</v>
      </c>
      <c r="F1054" s="11" t="s">
        <v>3235</v>
      </c>
      <c r="G1054" s="12"/>
      <c r="H1054" s="12"/>
      <c r="I1054" s="13">
        <v>0</v>
      </c>
      <c r="J1054" s="13">
        <v>0</v>
      </c>
      <c r="K1054" s="14" t="str">
        <f>HYPERLINK("http://twitter.com","Twitter Web Client")</f>
        <v>Twitter Web Client</v>
      </c>
      <c r="L1054" s="13">
        <v>692</v>
      </c>
      <c r="M1054" s="13">
        <v>1747</v>
      </c>
      <c r="N1054" s="13">
        <v>3</v>
      </c>
      <c r="O1054" s="15"/>
      <c r="P1054" s="6">
        <v>43049.423819444448</v>
      </c>
      <c r="Q1054" s="17" t="s">
        <v>160</v>
      </c>
      <c r="R1054" s="16" t="s">
        <v>3853</v>
      </c>
      <c r="S1054" s="12"/>
      <c r="T1054" s="12"/>
      <c r="U1054" s="10" t="str">
        <f>HYPERLINK("https://pbs.twimg.com/profile_images/936494587761385472/4QRLIAtv.jpg","View")</f>
        <v>View</v>
      </c>
    </row>
    <row r="1055" spans="1:21" ht="61.2">
      <c r="A1055" s="6">
        <v>43424.907511574071</v>
      </c>
      <c r="B1055" s="7" t="str">
        <f>HYPERLINK("https://twitter.com/antoniobernabe","@antoniobernabe")</f>
        <v>@antoniobernabe</v>
      </c>
      <c r="C1055" s="8" t="s">
        <v>3050</v>
      </c>
      <c r="D1055" s="9" t="s">
        <v>3854</v>
      </c>
      <c r="E1055" s="10" t="str">
        <f>HYPERLINK("https://twitter.com/antoniobernabe/status/1065119320752164864","1065119320752164864")</f>
        <v>1065119320752164864</v>
      </c>
      <c r="F1055" s="11" t="s">
        <v>3855</v>
      </c>
      <c r="G1055" s="11" t="s">
        <v>3099</v>
      </c>
      <c r="H1055" s="12"/>
      <c r="I1055" s="13">
        <v>0</v>
      </c>
      <c r="J1055" s="13">
        <v>1</v>
      </c>
      <c r="K1055" s="14" t="str">
        <f>HYPERLINK("http://www.facebook.com/twitter","Facebook")</f>
        <v>Facebook</v>
      </c>
      <c r="L1055" s="13">
        <v>2145</v>
      </c>
      <c r="M1055" s="13">
        <v>1732</v>
      </c>
      <c r="N1055" s="13">
        <v>35</v>
      </c>
      <c r="O1055" s="15"/>
      <c r="P1055" s="6">
        <v>40446.261388888888</v>
      </c>
      <c r="Q1055" s="12"/>
      <c r="R1055" s="16" t="s">
        <v>3053</v>
      </c>
      <c r="S1055" s="11" t="s">
        <v>3054</v>
      </c>
      <c r="T1055" s="12"/>
      <c r="U1055" s="10" t="str">
        <f>HYPERLINK("https://pbs.twimg.com/profile_images/988852544456806400/K94efQB7.jpg","View")</f>
        <v>View</v>
      </c>
    </row>
    <row r="1056" spans="1:21" ht="81.599999999999994">
      <c r="A1056" s="6">
        <v>43424.8984375</v>
      </c>
      <c r="B1056" s="7" t="str">
        <f>HYPERLINK("https://twitter.com/robgrg","@robgrg")</f>
        <v>@robgrg</v>
      </c>
      <c r="C1056" s="8" t="s">
        <v>3856</v>
      </c>
      <c r="D1056" s="9" t="s">
        <v>3857</v>
      </c>
      <c r="E1056" s="10" t="str">
        <f>HYPERLINK("https://twitter.com/robgrg/status/1065116029930692608","1065116029930692608")</f>
        <v>1065116029930692608</v>
      </c>
      <c r="F1056" s="11" t="s">
        <v>2578</v>
      </c>
      <c r="G1056" s="11" t="s">
        <v>2579</v>
      </c>
      <c r="H1056" s="12"/>
      <c r="I1056" s="13">
        <v>0</v>
      </c>
      <c r="J1056" s="13">
        <v>0</v>
      </c>
      <c r="K1056" s="14" t="str">
        <f>HYPERLINK("http://twitter.com/download/android","Twitter for Android")</f>
        <v>Twitter for Android</v>
      </c>
      <c r="L1056" s="13">
        <v>943</v>
      </c>
      <c r="M1056" s="13">
        <v>1061</v>
      </c>
      <c r="N1056" s="13">
        <v>20</v>
      </c>
      <c r="O1056" s="15"/>
      <c r="P1056" s="6">
        <v>40612.463958333334</v>
      </c>
      <c r="Q1056" s="17" t="s">
        <v>3859</v>
      </c>
      <c r="R1056" s="16" t="s">
        <v>3860</v>
      </c>
      <c r="S1056" s="12"/>
      <c r="T1056" s="12"/>
      <c r="U1056" s="10" t="str">
        <f>HYPERLINK("https://pbs.twimg.com/profile_images/1059627582281388033/iwTI7MrZ.jpg","View")</f>
        <v>View</v>
      </c>
    </row>
    <row r="1057" spans="1:21" ht="51">
      <c r="A1057" s="6">
        <v>43424.88894675926</v>
      </c>
      <c r="B1057" s="7" t="str">
        <f>HYPERLINK("https://twitter.com/Cambio16","@Cambio16")</f>
        <v>@Cambio16</v>
      </c>
      <c r="C1057" s="8" t="s">
        <v>953</v>
      </c>
      <c r="D1057" s="9" t="s">
        <v>3861</v>
      </c>
      <c r="E1057" s="10" t="str">
        <f>HYPERLINK("https://twitter.com/Cambio16/status/1065112593973616641","1065112593973616641")</f>
        <v>1065112593973616641</v>
      </c>
      <c r="F1057" s="11" t="s">
        <v>3862</v>
      </c>
      <c r="G1057" s="11" t="s">
        <v>3863</v>
      </c>
      <c r="H1057" s="12"/>
      <c r="I1057" s="13">
        <v>1</v>
      </c>
      <c r="J1057" s="13">
        <v>3</v>
      </c>
      <c r="K1057" s="14" t="str">
        <f>HYPERLINK("https://www.hootsuite.com","Hootsuite Inc.")</f>
        <v>Hootsuite Inc.</v>
      </c>
      <c r="L1057" s="13">
        <v>17345</v>
      </c>
      <c r="M1057" s="13">
        <v>765</v>
      </c>
      <c r="N1057" s="13">
        <v>499</v>
      </c>
      <c r="O1057" s="15"/>
      <c r="P1057" s="6">
        <v>40341.117245370369</v>
      </c>
      <c r="Q1057" s="17" t="s">
        <v>143</v>
      </c>
      <c r="R1057" s="16" t="s">
        <v>958</v>
      </c>
      <c r="S1057" s="11" t="s">
        <v>959</v>
      </c>
      <c r="T1057" s="12"/>
      <c r="U1057" s="10" t="str">
        <f>HYPERLINK("https://pbs.twimg.com/profile_images/1060221846208069632/vJfJ3_T5.jpg","View")</f>
        <v>View</v>
      </c>
    </row>
    <row r="1058" spans="1:21" ht="40.799999999999997">
      <c r="A1058" s="6">
        <v>43424.829965277779</v>
      </c>
      <c r="B1058" s="7" t="str">
        <f>HYPERLINK("https://twitter.com/marimardona","@marimardona")</f>
        <v>@marimardona</v>
      </c>
      <c r="C1058" s="8" t="s">
        <v>1236</v>
      </c>
      <c r="D1058" s="9" t="s">
        <v>3864</v>
      </c>
      <c r="E1058" s="10" t="str">
        <f>HYPERLINK("https://twitter.com/marimardona/status/1065091216872796161","1065091216872796161")</f>
        <v>1065091216872796161</v>
      </c>
      <c r="F1058" s="11" t="s">
        <v>246</v>
      </c>
      <c r="G1058" s="12"/>
      <c r="H1058" s="12"/>
      <c r="I1058" s="13">
        <v>0</v>
      </c>
      <c r="J1058" s="13">
        <v>0</v>
      </c>
      <c r="K1058" s="14" t="str">
        <f>HYPERLINK("http://twitter.com/download/android","Twitter for Android")</f>
        <v>Twitter for Android</v>
      </c>
      <c r="L1058" s="13">
        <v>5489</v>
      </c>
      <c r="M1058" s="13">
        <v>5455</v>
      </c>
      <c r="N1058" s="13">
        <v>82</v>
      </c>
      <c r="O1058" s="15"/>
      <c r="P1058" s="6">
        <v>40640.372418981482</v>
      </c>
      <c r="Q1058" s="17" t="s">
        <v>1238</v>
      </c>
      <c r="R1058" s="16" t="s">
        <v>1239</v>
      </c>
      <c r="S1058" s="12"/>
      <c r="T1058" s="12"/>
      <c r="U1058" s="10" t="str">
        <f>HYPERLINK("https://pbs.twimg.com/profile_images/1049018212325740544/3cPu8qps.jpg","View")</f>
        <v>View</v>
      </c>
    </row>
    <row r="1059" spans="1:21" ht="30.6">
      <c r="A1059" s="6">
        <v>43424.826261574075</v>
      </c>
      <c r="B1059" s="7" t="str">
        <f>HYPERLINK("https://twitter.com/JJhabi","@JJhabi")</f>
        <v>@JJhabi</v>
      </c>
      <c r="C1059" s="8" t="s">
        <v>3865</v>
      </c>
      <c r="D1059" s="9" t="s">
        <v>3866</v>
      </c>
      <c r="E1059" s="10" t="str">
        <f>HYPERLINK("https://twitter.com/JJhabi/status/1065089876507414528","1065089876507414528")</f>
        <v>1065089876507414528</v>
      </c>
      <c r="F1059" s="12"/>
      <c r="G1059" s="12"/>
      <c r="H1059" s="12"/>
      <c r="I1059" s="13">
        <v>1</v>
      </c>
      <c r="J1059" s="13">
        <v>0</v>
      </c>
      <c r="K1059" s="14" t="str">
        <f>HYPERLINK("http://twitter.com/download/iphone","Twitter for iPhone")</f>
        <v>Twitter for iPhone</v>
      </c>
      <c r="L1059" s="13">
        <v>1334</v>
      </c>
      <c r="M1059" s="13">
        <v>1942</v>
      </c>
      <c r="N1059" s="13">
        <v>19</v>
      </c>
      <c r="O1059" s="15"/>
      <c r="P1059" s="6">
        <v>41946.946377314816</v>
      </c>
      <c r="Q1059" s="17" t="s">
        <v>3867</v>
      </c>
      <c r="R1059" s="16" t="s">
        <v>3868</v>
      </c>
      <c r="S1059" s="11" t="s">
        <v>3869</v>
      </c>
      <c r="T1059" s="12"/>
      <c r="U1059" s="10" t="str">
        <f>HYPERLINK("https://pbs.twimg.com/profile_images/546791323815383040/hqSxClDP.jpeg","View")</f>
        <v>View</v>
      </c>
    </row>
    <row r="1060" spans="1:21" ht="40.799999999999997">
      <c r="A1060" s="6">
        <v>43424.76116898148</v>
      </c>
      <c r="B1060" s="7" t="str">
        <f>HYPERLINK("https://twitter.com/dickie825","@dickie825")</f>
        <v>@dickie825</v>
      </c>
      <c r="C1060" s="8" t="s">
        <v>3870</v>
      </c>
      <c r="D1060" s="9" t="s">
        <v>3871</v>
      </c>
      <c r="E1060" s="10" t="str">
        <f>HYPERLINK("https://twitter.com/dickie825/status/1065066288915988480","1065066288915988480")</f>
        <v>1065066288915988480</v>
      </c>
      <c r="F1060" s="11" t="s">
        <v>3873</v>
      </c>
      <c r="G1060" s="11" t="s">
        <v>3874</v>
      </c>
      <c r="H1060" s="12"/>
      <c r="I1060" s="13">
        <v>0</v>
      </c>
      <c r="J1060" s="13">
        <v>0</v>
      </c>
      <c r="K1060" s="14" t="str">
        <f>HYPERLINK("https://dlvrit.com/","dlvr.it")</f>
        <v>dlvr.it</v>
      </c>
      <c r="L1060" s="13">
        <v>3462</v>
      </c>
      <c r="M1060" s="13">
        <v>2367</v>
      </c>
      <c r="N1060" s="13">
        <v>23</v>
      </c>
      <c r="O1060" s="15"/>
      <c r="P1060" s="6">
        <v>41702.551354166666</v>
      </c>
      <c r="Q1060" s="17" t="s">
        <v>3875</v>
      </c>
      <c r="R1060" s="16" t="s">
        <v>3876</v>
      </c>
      <c r="S1060" s="11" t="s">
        <v>3878</v>
      </c>
      <c r="T1060" s="12"/>
      <c r="U1060" s="10" t="str">
        <f>HYPERLINK("https://pbs.twimg.com/profile_images/462982799574581250/pOhVVnh8.png","View")</f>
        <v>View</v>
      </c>
    </row>
    <row r="1061" spans="1:21" ht="20.399999999999999">
      <c r="A1061" s="6">
        <v>43424.717766203699</v>
      </c>
      <c r="B1061" s="7" t="str">
        <f>HYPERLINK("https://twitter.com/cataladigitalok","@cataladigitalok")</f>
        <v>@cataladigitalok</v>
      </c>
      <c r="C1061" s="8" t="s">
        <v>3879</v>
      </c>
      <c r="D1061" s="9" t="s">
        <v>3449</v>
      </c>
      <c r="E1061" s="10" t="str">
        <f>HYPERLINK("https://twitter.com/cataladigitalok/status/1065050559370145793","1065050559370145793")</f>
        <v>1065050559370145793</v>
      </c>
      <c r="F1061" s="11" t="s">
        <v>2219</v>
      </c>
      <c r="G1061" s="12"/>
      <c r="H1061" s="12"/>
      <c r="I1061" s="13">
        <v>3</v>
      </c>
      <c r="J1061" s="13">
        <v>3</v>
      </c>
      <c r="K1061" s="14" t="str">
        <f>HYPERLINK("http://twitter.com","Twitter Web Client")</f>
        <v>Twitter Web Client</v>
      </c>
      <c r="L1061" s="13">
        <v>13071</v>
      </c>
      <c r="M1061" s="13">
        <v>12893</v>
      </c>
      <c r="N1061" s="13">
        <v>72</v>
      </c>
      <c r="O1061" s="15"/>
      <c r="P1061" s="6">
        <v>40280.392337962963</v>
      </c>
      <c r="Q1061" s="17" t="s">
        <v>3880</v>
      </c>
      <c r="R1061" s="16" t="s">
        <v>3881</v>
      </c>
      <c r="S1061" s="11" t="s">
        <v>3882</v>
      </c>
      <c r="T1061" s="12"/>
      <c r="U1061" s="10" t="str">
        <f>HYPERLINK("https://pbs.twimg.com/profile_images/941656962974076928/nhJV774H.jpg","View")</f>
        <v>View</v>
      </c>
    </row>
    <row r="1062" spans="1:21" ht="30.6">
      <c r="A1062" s="6">
        <v>43424.683518518519</v>
      </c>
      <c r="B1062" s="7" t="str">
        <f>HYPERLINK("https://twitter.com/bcn2day","@bcn2day")</f>
        <v>@bcn2day</v>
      </c>
      <c r="C1062" s="8" t="s">
        <v>3883</v>
      </c>
      <c r="D1062" s="9" t="s">
        <v>3884</v>
      </c>
      <c r="E1062" s="10" t="str">
        <f>HYPERLINK("https://twitter.com/bcn2day/status/1065038147719962624","1065038147719962624")</f>
        <v>1065038147719962624</v>
      </c>
      <c r="F1062" s="11" t="s">
        <v>3885</v>
      </c>
      <c r="G1062" s="12"/>
      <c r="H1062" s="12"/>
      <c r="I1062" s="13">
        <v>0</v>
      </c>
      <c r="J1062" s="13">
        <v>0</v>
      </c>
      <c r="K1062" s="14" t="str">
        <f>HYPERLINK("http://www.facebook.com/twitter","Facebook")</f>
        <v>Facebook</v>
      </c>
      <c r="L1062" s="13">
        <v>60</v>
      </c>
      <c r="M1062" s="13">
        <v>10</v>
      </c>
      <c r="N1062" s="13">
        <v>1</v>
      </c>
      <c r="O1062" s="15"/>
      <c r="P1062" s="6">
        <v>42263.745567129634</v>
      </c>
      <c r="Q1062" s="12"/>
      <c r="R1062" s="18"/>
      <c r="S1062" s="12"/>
      <c r="T1062" s="12"/>
      <c r="U1062" s="10" t="str">
        <f>HYPERLINK("https://pbs.twimg.com/profile_images/644504700356816896/LMbKA-C7.jpg","View")</f>
        <v>View</v>
      </c>
    </row>
    <row r="1063" spans="1:21" ht="61.2">
      <c r="A1063" s="6">
        <v>43424.675567129627</v>
      </c>
      <c r="B1063" s="7" t="str">
        <f>HYPERLINK("https://twitter.com/davdommed","@davdommed")</f>
        <v>@davdommed</v>
      </c>
      <c r="C1063" s="8" t="s">
        <v>1647</v>
      </c>
      <c r="D1063" s="9" t="s">
        <v>3886</v>
      </c>
      <c r="E1063" s="10" t="str">
        <f>HYPERLINK("https://twitter.com/davdommed/status/1065035265910153216","1065035265910153216")</f>
        <v>1065035265910153216</v>
      </c>
      <c r="F1063" s="17" t="s">
        <v>3887</v>
      </c>
      <c r="G1063" s="12"/>
      <c r="H1063" s="12"/>
      <c r="I1063" s="13">
        <v>0</v>
      </c>
      <c r="J1063" s="13">
        <v>2</v>
      </c>
      <c r="K1063" s="14" t="str">
        <f>HYPERLINK("http://twitter.com/download/iphone","Twitter for iPhone")</f>
        <v>Twitter for iPhone</v>
      </c>
      <c r="L1063" s="13">
        <v>1295</v>
      </c>
      <c r="M1063" s="13">
        <v>619</v>
      </c>
      <c r="N1063" s="13">
        <v>78</v>
      </c>
      <c r="O1063" s="15"/>
      <c r="P1063" s="6">
        <v>40136.471122685187</v>
      </c>
      <c r="Q1063" s="17" t="s">
        <v>29</v>
      </c>
      <c r="R1063" s="16" t="s">
        <v>1652</v>
      </c>
      <c r="S1063" s="11" t="s">
        <v>1653</v>
      </c>
      <c r="T1063" s="12"/>
      <c r="U1063" s="10" t="str">
        <f>HYPERLINK("https://pbs.twimg.com/profile_images/1023682968940883968/4UE-Ddio.jpg","View")</f>
        <v>View</v>
      </c>
    </row>
    <row r="1064" spans="1:21" ht="30.6">
      <c r="A1064" s="6">
        <v>43424.652962962966</v>
      </c>
      <c r="B1064" s="7" t="str">
        <f>HYPERLINK("https://twitter.com/MiriamRuiz_","@MiriamRuiz_")</f>
        <v>@MiriamRuiz_</v>
      </c>
      <c r="C1064" s="8" t="s">
        <v>3888</v>
      </c>
      <c r="D1064" s="9" t="s">
        <v>3889</v>
      </c>
      <c r="E1064" s="10" t="str">
        <f>HYPERLINK("https://twitter.com/MiriamRuiz_/status/1065027076170964999","1065027076170964999")</f>
        <v>1065027076170964999</v>
      </c>
      <c r="F1064" s="12"/>
      <c r="G1064" s="11" t="s">
        <v>3890</v>
      </c>
      <c r="H1064" s="12"/>
      <c r="I1064" s="13">
        <v>0</v>
      </c>
      <c r="J1064" s="13">
        <v>0</v>
      </c>
      <c r="K1064" s="14" t="str">
        <f t="shared" ref="K1064:K1066" si="197">HYPERLINK("http://twitter.com/download/android","Twitter for Android")</f>
        <v>Twitter for Android</v>
      </c>
      <c r="L1064" s="13">
        <v>1480</v>
      </c>
      <c r="M1064" s="13">
        <v>1521</v>
      </c>
      <c r="N1064" s="13">
        <v>76</v>
      </c>
      <c r="O1064" s="15"/>
      <c r="P1064" s="6">
        <v>40651.082071759258</v>
      </c>
      <c r="Q1064" s="17" t="s">
        <v>76</v>
      </c>
      <c r="R1064" s="16" t="s">
        <v>3891</v>
      </c>
      <c r="S1064" s="11" t="s">
        <v>3892</v>
      </c>
      <c r="T1064" s="12"/>
      <c r="U1064" s="10" t="str">
        <f>HYPERLINK("https://pbs.twimg.com/profile_images/973159411047895041/6UpZ984C.jpg","View")</f>
        <v>View</v>
      </c>
    </row>
    <row r="1065" spans="1:21" ht="30.6">
      <c r="A1065" s="6">
        <v>43424.646956018521</v>
      </c>
      <c r="B1065" s="7" t="str">
        <f>HYPERLINK("https://twitter.com/mta1966","@mta1966")</f>
        <v>@mta1966</v>
      </c>
      <c r="C1065" s="8" t="s">
        <v>2831</v>
      </c>
      <c r="D1065" s="9" t="s">
        <v>3893</v>
      </c>
      <c r="E1065" s="10" t="str">
        <f>HYPERLINK("https://twitter.com/mta1966/status/1065024897112518658","1065024897112518658")</f>
        <v>1065024897112518658</v>
      </c>
      <c r="F1065" s="11" t="s">
        <v>246</v>
      </c>
      <c r="G1065" s="12"/>
      <c r="H1065" s="12"/>
      <c r="I1065" s="13">
        <v>6</v>
      </c>
      <c r="J1065" s="13">
        <v>6</v>
      </c>
      <c r="K1065" s="14" t="str">
        <f t="shared" si="197"/>
        <v>Twitter for Android</v>
      </c>
      <c r="L1065" s="13">
        <v>7578</v>
      </c>
      <c r="M1065" s="13">
        <v>7604</v>
      </c>
      <c r="N1065" s="13">
        <v>16</v>
      </c>
      <c r="O1065" s="15"/>
      <c r="P1065" s="6">
        <v>43026.93167824074</v>
      </c>
      <c r="Q1065" s="17" t="s">
        <v>60</v>
      </c>
      <c r="R1065" s="16" t="s">
        <v>2834</v>
      </c>
      <c r="S1065" s="12"/>
      <c r="T1065" s="12"/>
      <c r="U1065" s="10" t="str">
        <f>HYPERLINK("https://pbs.twimg.com/profile_images/1005861506930626560/YtUWiBM4.jpg","View")</f>
        <v>View</v>
      </c>
    </row>
    <row r="1066" spans="1:21" ht="40.799999999999997">
      <c r="A1066" s="6">
        <v>43424.641458333332</v>
      </c>
      <c r="B1066" s="7" t="str">
        <f>HYPERLINK("https://twitter.com/podridopopular","@podridopopular")</f>
        <v>@podridopopular</v>
      </c>
      <c r="C1066" s="8" t="s">
        <v>3894</v>
      </c>
      <c r="D1066" s="9" t="s">
        <v>3895</v>
      </c>
      <c r="E1066" s="10" t="str">
        <f>HYPERLINK("https://twitter.com/podridopopular/status/1065022906521042948","1065022906521042948")</f>
        <v>1065022906521042948</v>
      </c>
      <c r="F1066" s="17" t="s">
        <v>3896</v>
      </c>
      <c r="G1066" s="12"/>
      <c r="H1066" s="12"/>
      <c r="I1066" s="13">
        <v>4</v>
      </c>
      <c r="J1066" s="13">
        <v>22</v>
      </c>
      <c r="K1066" s="14" t="str">
        <f t="shared" si="197"/>
        <v>Twitter for Android</v>
      </c>
      <c r="L1066" s="13">
        <v>13879</v>
      </c>
      <c r="M1066" s="13">
        <v>1325</v>
      </c>
      <c r="N1066" s="13">
        <v>120</v>
      </c>
      <c r="O1066" s="15"/>
      <c r="P1066" s="6">
        <v>42053.50953703704</v>
      </c>
      <c r="Q1066" s="17" t="s">
        <v>3897</v>
      </c>
      <c r="R1066" s="16" t="s">
        <v>3898</v>
      </c>
      <c r="S1066" s="11" t="s">
        <v>3899</v>
      </c>
      <c r="T1066" s="12"/>
      <c r="U1066" s="10" t="str">
        <f>HYPERLINK("https://pbs.twimg.com/profile_images/823305390716809217/wtdLYKEF.jpg","View")</f>
        <v>View</v>
      </c>
    </row>
    <row r="1067" spans="1:21" ht="20.399999999999999">
      <c r="A1067" s="6">
        <v>43424.637615740736</v>
      </c>
      <c r="B1067" s="7" t="str">
        <f>HYPERLINK("https://twitter.com/AntGainos","@AntGainos")</f>
        <v>@AntGainos</v>
      </c>
      <c r="C1067" s="8" t="s">
        <v>3005</v>
      </c>
      <c r="D1067" s="9" t="s">
        <v>3900</v>
      </c>
      <c r="E1067" s="10" t="str">
        <f>HYPERLINK("https://twitter.com/AntGainos/status/1065021512896401409","1065021512896401409")</f>
        <v>1065021512896401409</v>
      </c>
      <c r="F1067" s="11" t="s">
        <v>320</v>
      </c>
      <c r="G1067" s="12"/>
      <c r="H1067" s="12"/>
      <c r="I1067" s="13">
        <v>0</v>
      </c>
      <c r="J1067" s="13">
        <v>0</v>
      </c>
      <c r="K1067" s="14" t="str">
        <f t="shared" ref="K1067:K1068" si="198">HYPERLINK("http://twitter.com","Twitter Web Client")</f>
        <v>Twitter Web Client</v>
      </c>
      <c r="L1067" s="13">
        <v>547</v>
      </c>
      <c r="M1067" s="13">
        <v>553</v>
      </c>
      <c r="N1067" s="13">
        <v>9</v>
      </c>
      <c r="O1067" s="15"/>
      <c r="P1067" s="6">
        <v>40643.471689814818</v>
      </c>
      <c r="Q1067" s="17" t="s">
        <v>2270</v>
      </c>
      <c r="R1067" s="18"/>
      <c r="S1067" s="12"/>
      <c r="T1067" s="12"/>
      <c r="U1067" s="10" t="str">
        <f>HYPERLINK("https://pbs.twimg.com/profile_images/1034402549011542016/iBP_Fz3r.jpg","View")</f>
        <v>View</v>
      </c>
    </row>
    <row r="1068" spans="1:21" ht="40.799999999999997">
      <c r="A1068" s="6">
        <v>43424.633831018524</v>
      </c>
      <c r="B1068" s="7" t="str">
        <f>HYPERLINK("https://twitter.com/FanaletFernando","@FanaletFernando")</f>
        <v>@FanaletFernando</v>
      </c>
      <c r="C1068" s="8" t="s">
        <v>3901</v>
      </c>
      <c r="D1068" s="9" t="s">
        <v>3900</v>
      </c>
      <c r="E1068" s="10" t="str">
        <f>HYPERLINK("https://twitter.com/FanaletFernando/status/1065020140104884225","1065020140104884225")</f>
        <v>1065020140104884225</v>
      </c>
      <c r="F1068" s="11" t="s">
        <v>320</v>
      </c>
      <c r="G1068" s="12"/>
      <c r="H1068" s="12"/>
      <c r="I1068" s="13">
        <v>0</v>
      </c>
      <c r="J1068" s="13">
        <v>0</v>
      </c>
      <c r="K1068" s="14" t="str">
        <f t="shared" si="198"/>
        <v>Twitter Web Client</v>
      </c>
      <c r="L1068" s="13">
        <v>2772</v>
      </c>
      <c r="M1068" s="13">
        <v>1600</v>
      </c>
      <c r="N1068" s="13">
        <v>60</v>
      </c>
      <c r="O1068" s="15"/>
      <c r="P1068" s="6">
        <v>41738.182754629626</v>
      </c>
      <c r="Q1068" s="17" t="s">
        <v>3902</v>
      </c>
      <c r="R1068" s="16" t="s">
        <v>3903</v>
      </c>
      <c r="S1068" s="12"/>
      <c r="T1068" s="12"/>
      <c r="U1068" s="10" t="str">
        <f>HYPERLINK("https://pbs.twimg.com/profile_images/817286675114037249/Pw4vOmyY.jpg","View")</f>
        <v>View</v>
      </c>
    </row>
    <row r="1069" spans="1:21" ht="40.799999999999997">
      <c r="A1069" s="6">
        <v>43424.632858796293</v>
      </c>
      <c r="B1069" s="7" t="str">
        <f>HYPERLINK("https://twitter.com/donarfonzo","@donarfonzo")</f>
        <v>@donarfonzo</v>
      </c>
      <c r="C1069" s="8" t="s">
        <v>3905</v>
      </c>
      <c r="D1069" s="9" t="s">
        <v>3906</v>
      </c>
      <c r="E1069" s="10" t="str">
        <f>HYPERLINK("https://twitter.com/donarfonzo/status/1065019787640799234","1065019787640799234")</f>
        <v>1065019787640799234</v>
      </c>
      <c r="F1069" s="11" t="s">
        <v>3752</v>
      </c>
      <c r="G1069" s="12"/>
      <c r="H1069" s="12"/>
      <c r="I1069" s="13">
        <v>12</v>
      </c>
      <c r="J1069" s="13">
        <v>59</v>
      </c>
      <c r="K1069" s="14" t="str">
        <f>HYPERLINK("http://twitter.com/download/android","Twitter for Android")</f>
        <v>Twitter for Android</v>
      </c>
      <c r="L1069" s="13">
        <v>48299</v>
      </c>
      <c r="M1069" s="13">
        <v>244</v>
      </c>
      <c r="N1069" s="13">
        <v>619</v>
      </c>
      <c r="O1069" s="15"/>
      <c r="P1069" s="6">
        <v>39963.408831018518</v>
      </c>
      <c r="Q1069" s="12"/>
      <c r="R1069" s="16" t="s">
        <v>3909</v>
      </c>
      <c r="S1069" s="11" t="s">
        <v>3910</v>
      </c>
      <c r="T1069" s="12"/>
      <c r="U1069" s="10" t="str">
        <f>HYPERLINK("https://pbs.twimg.com/profile_images/1057923362276761602/59--IAi4.jpg","View")</f>
        <v>View</v>
      </c>
    </row>
    <row r="1070" spans="1:21" ht="40.799999999999997">
      <c r="A1070" s="6">
        <v>43424.629953703705</v>
      </c>
      <c r="B1070" s="7" t="str">
        <f>HYPERLINK("https://twitter.com/LluisaA10","@LluisaA10")</f>
        <v>@LluisaA10</v>
      </c>
      <c r="C1070" s="8" t="s">
        <v>3911</v>
      </c>
      <c r="D1070" s="9" t="s">
        <v>3900</v>
      </c>
      <c r="E1070" s="10" t="str">
        <f>HYPERLINK("https://twitter.com/LluisaA10/status/1065018736615272448","1065018736615272448")</f>
        <v>1065018736615272448</v>
      </c>
      <c r="F1070" s="11" t="s">
        <v>320</v>
      </c>
      <c r="G1070" s="12"/>
      <c r="H1070" s="12"/>
      <c r="I1070" s="13">
        <v>0</v>
      </c>
      <c r="J1070" s="13">
        <v>0</v>
      </c>
      <c r="K1070" s="14" t="str">
        <f t="shared" ref="K1070:K1071" si="199">HYPERLINK("http://twitter.com","Twitter Web Client")</f>
        <v>Twitter Web Client</v>
      </c>
      <c r="L1070" s="13">
        <v>176</v>
      </c>
      <c r="M1070" s="13">
        <v>314</v>
      </c>
      <c r="N1070" s="13">
        <v>7</v>
      </c>
      <c r="O1070" s="15"/>
      <c r="P1070" s="6">
        <v>40529.793576388889</v>
      </c>
      <c r="Q1070" s="17" t="s">
        <v>3912</v>
      </c>
      <c r="R1070" s="16" t="s">
        <v>3913</v>
      </c>
      <c r="S1070" s="11" t="s">
        <v>3914</v>
      </c>
      <c r="T1070" s="12"/>
      <c r="U1070" s="10" t="str">
        <f>HYPERLINK("https://pbs.twimg.com/profile_images/739508015297093633/7omfy2ty.jpg","View")</f>
        <v>View</v>
      </c>
    </row>
    <row r="1071" spans="1:21" ht="71.400000000000006">
      <c r="A1071" s="6">
        <v>43424.629282407404</v>
      </c>
      <c r="B1071" s="7" t="str">
        <f>HYPERLINK("https://twitter.com/Crooperc","@Crooperc")</f>
        <v>@Crooperc</v>
      </c>
      <c r="C1071" s="8" t="s">
        <v>1230</v>
      </c>
      <c r="D1071" s="9" t="s">
        <v>3915</v>
      </c>
      <c r="E1071" s="10" t="str">
        <f>HYPERLINK("https://twitter.com/Crooperc/status/1065018493303746561","1065018493303746561")</f>
        <v>1065018493303746561</v>
      </c>
      <c r="F1071" s="11" t="s">
        <v>3916</v>
      </c>
      <c r="G1071" s="12"/>
      <c r="H1071" s="12"/>
      <c r="I1071" s="13">
        <v>0</v>
      </c>
      <c r="J1071" s="13">
        <v>0</v>
      </c>
      <c r="K1071" s="14" t="str">
        <f t="shared" si="199"/>
        <v>Twitter Web Client</v>
      </c>
      <c r="L1071" s="13">
        <v>448</v>
      </c>
      <c r="M1071" s="13">
        <v>1008</v>
      </c>
      <c r="N1071" s="13">
        <v>7</v>
      </c>
      <c r="O1071" s="15"/>
      <c r="P1071" s="6">
        <v>40576.307604166665</v>
      </c>
      <c r="Q1071" s="17" t="s">
        <v>26</v>
      </c>
      <c r="R1071" s="16" t="s">
        <v>1235</v>
      </c>
      <c r="S1071" s="12"/>
      <c r="T1071" s="12"/>
      <c r="U1071" s="10" t="str">
        <f>HYPERLINK("https://pbs.twimg.com/profile_images/710548663265857536/-TZuIifW.jpg","View")</f>
        <v>View</v>
      </c>
    </row>
    <row r="1072" spans="1:21" ht="40.799999999999997">
      <c r="A1072" s="6">
        <v>43424.626550925925</v>
      </c>
      <c r="B1072" s="7" t="str">
        <f>HYPERLINK("https://twitter.com/AngelMendezMar3","@AngelMendezMar3")</f>
        <v>@AngelMendezMar3</v>
      </c>
      <c r="C1072" s="8" t="s">
        <v>3917</v>
      </c>
      <c r="D1072" s="9" t="s">
        <v>3918</v>
      </c>
      <c r="E1072" s="10" t="str">
        <f>HYPERLINK("https://twitter.com/AngelMendezMar3/status/1065017502009356289","1065017502009356289")</f>
        <v>1065017502009356289</v>
      </c>
      <c r="F1072" s="12"/>
      <c r="G1072" s="12"/>
      <c r="H1072" s="12"/>
      <c r="I1072" s="13">
        <v>0</v>
      </c>
      <c r="J1072" s="13">
        <v>0</v>
      </c>
      <c r="K1072" s="14" t="str">
        <f t="shared" ref="K1072:K1073" si="200">HYPERLINK("http://twitter.com/download/android","Twitter for Android")</f>
        <v>Twitter for Android</v>
      </c>
      <c r="L1072" s="13">
        <v>329</v>
      </c>
      <c r="M1072" s="13">
        <v>757</v>
      </c>
      <c r="N1072" s="13">
        <v>1</v>
      </c>
      <c r="O1072" s="15"/>
      <c r="P1072" s="6">
        <v>42884.561469907407</v>
      </c>
      <c r="Q1072" s="12"/>
      <c r="R1072" s="16" t="s">
        <v>3919</v>
      </c>
      <c r="S1072" s="12"/>
      <c r="T1072" s="12"/>
      <c r="U1072" s="10" t="str">
        <f>HYPERLINK("https://pbs.twimg.com/profile_images/973522315161034752/LEPYULHN.jpg","View")</f>
        <v>View</v>
      </c>
    </row>
    <row r="1073" spans="1:21" ht="81.599999999999994">
      <c r="A1073" s="6">
        <v>43424.625694444447</v>
      </c>
      <c r="B1073" s="7" t="str">
        <f>HYPERLINK("https://twitter.com/Paradonovalia","@Paradonovalia")</f>
        <v>@Paradonovalia</v>
      </c>
      <c r="C1073" s="8" t="s">
        <v>2876</v>
      </c>
      <c r="D1073" s="9" t="s">
        <v>3920</v>
      </c>
      <c r="E1073" s="10" t="str">
        <f>HYPERLINK("https://twitter.com/Paradonovalia/status/1065017192289394688","1065017192289394688")</f>
        <v>1065017192289394688</v>
      </c>
      <c r="F1073" s="17" t="s">
        <v>3887</v>
      </c>
      <c r="G1073" s="12"/>
      <c r="H1073" s="12"/>
      <c r="I1073" s="13">
        <v>0</v>
      </c>
      <c r="J1073" s="13">
        <v>0</v>
      </c>
      <c r="K1073" s="14" t="str">
        <f t="shared" si="200"/>
        <v>Twitter for Android</v>
      </c>
      <c r="L1073" s="13">
        <v>5743</v>
      </c>
      <c r="M1073" s="13">
        <v>520</v>
      </c>
      <c r="N1073" s="13">
        <v>98</v>
      </c>
      <c r="O1073" s="15"/>
      <c r="P1073" s="6">
        <v>40718.869930555556</v>
      </c>
      <c r="Q1073" s="17" t="s">
        <v>2878</v>
      </c>
      <c r="R1073" s="16" t="s">
        <v>2879</v>
      </c>
      <c r="S1073" s="11" t="s">
        <v>2880</v>
      </c>
      <c r="T1073" s="12"/>
      <c r="U1073" s="10" t="str">
        <f>HYPERLINK("https://pbs.twimg.com/profile_images/949718974652133377/iA7eYSZa.jpg","View")</f>
        <v>View</v>
      </c>
    </row>
    <row r="1074" spans="1:21" ht="20.399999999999999">
      <c r="A1074" s="6">
        <v>43424.619606481487</v>
      </c>
      <c r="B1074" s="7" t="str">
        <f>HYPERLINK("https://twitter.com/ecorepublicano","@ecorepublicano")</f>
        <v>@ecorepublicano</v>
      </c>
      <c r="C1074" s="8" t="s">
        <v>3921</v>
      </c>
      <c r="D1074" s="9" t="s">
        <v>3922</v>
      </c>
      <c r="E1074" s="10" t="str">
        <f>HYPERLINK("https://twitter.com/ecorepublicano/status/1065014987616325632","1065014987616325632")</f>
        <v>1065014987616325632</v>
      </c>
      <c r="F1074" s="11" t="s">
        <v>3923</v>
      </c>
      <c r="G1074" s="11" t="s">
        <v>3924</v>
      </c>
      <c r="H1074" s="12"/>
      <c r="I1074" s="13">
        <v>6</v>
      </c>
      <c r="J1074" s="13">
        <v>44</v>
      </c>
      <c r="K1074" s="14" t="str">
        <f>HYPERLINK("http://twitter.com/download/iphone","Twitter for iPhone")</f>
        <v>Twitter for iPhone</v>
      </c>
      <c r="L1074" s="13">
        <v>174610</v>
      </c>
      <c r="M1074" s="13">
        <v>93442</v>
      </c>
      <c r="N1074" s="13">
        <v>843</v>
      </c>
      <c r="O1074" s="15"/>
      <c r="P1074" s="6">
        <v>40686.190243055556</v>
      </c>
      <c r="Q1074" s="17" t="s">
        <v>29</v>
      </c>
      <c r="R1074" s="16" t="s">
        <v>3925</v>
      </c>
      <c r="S1074" s="11" t="s">
        <v>3926</v>
      </c>
      <c r="T1074" s="12"/>
      <c r="U1074" s="10" t="str">
        <f>HYPERLINK("https://pbs.twimg.com/profile_images/1017891325029572608/lFqOkfFM.jpg","View")</f>
        <v>View</v>
      </c>
    </row>
    <row r="1075" spans="1:21" ht="30.6">
      <c r="A1075" s="6">
        <v>43424.614861111113</v>
      </c>
      <c r="B1075" s="7" t="str">
        <f>HYPERLINK("https://twitter.com/columnamp","@columnamp")</f>
        <v>@columnamp</v>
      </c>
      <c r="C1075" s="8" t="s">
        <v>3927</v>
      </c>
      <c r="D1075" s="9" t="s">
        <v>3928</v>
      </c>
      <c r="E1075" s="10" t="str">
        <f>HYPERLINK("https://twitter.com/columnamp/status/1065013268304015362","1065013268304015362")</f>
        <v>1065013268304015362</v>
      </c>
      <c r="F1075" s="11" t="s">
        <v>3263</v>
      </c>
      <c r="G1075" s="12"/>
      <c r="H1075" s="12"/>
      <c r="I1075" s="13">
        <v>0</v>
      </c>
      <c r="J1075" s="13">
        <v>0</v>
      </c>
      <c r="K1075" s="14" t="str">
        <f>HYPERLINK("http://twitter.com","Twitter Web Client")</f>
        <v>Twitter Web Client</v>
      </c>
      <c r="L1075" s="13">
        <v>189</v>
      </c>
      <c r="M1075" s="13">
        <v>213</v>
      </c>
      <c r="N1075" s="13">
        <v>12</v>
      </c>
      <c r="O1075" s="15"/>
      <c r="P1075" s="6">
        <v>40875.343148148146</v>
      </c>
      <c r="Q1075" s="17" t="s">
        <v>857</v>
      </c>
      <c r="R1075" s="16" t="s">
        <v>3929</v>
      </c>
      <c r="S1075" s="11" t="s">
        <v>3930</v>
      </c>
      <c r="T1075" s="12"/>
      <c r="U1075" s="10" t="str">
        <f>HYPERLINK("https://pbs.twimg.com/profile_images/956905731403538439/9iIJa_g9.jpg","View")</f>
        <v>View</v>
      </c>
    </row>
    <row r="1076" spans="1:21" ht="40.799999999999997">
      <c r="A1076" s="6">
        <v>43424.613946759258</v>
      </c>
      <c r="B1076" s="7" t="str">
        <f>HYPERLINK("https://twitter.com/Geertxu","@Geertxu")</f>
        <v>@Geertxu</v>
      </c>
      <c r="C1076" s="8" t="s">
        <v>3931</v>
      </c>
      <c r="D1076" s="9" t="s">
        <v>3932</v>
      </c>
      <c r="E1076" s="10" t="str">
        <f>HYPERLINK("https://twitter.com/Geertxu/status/1065012936131969024","1065012936131969024")</f>
        <v>1065012936131969024</v>
      </c>
      <c r="F1076" s="11" t="s">
        <v>3933</v>
      </c>
      <c r="G1076" s="12"/>
      <c r="H1076" s="12"/>
      <c r="I1076" s="13">
        <v>1</v>
      </c>
      <c r="J1076" s="13">
        <v>4</v>
      </c>
      <c r="K1076" s="14" t="str">
        <f>HYPERLINK("http://twitter.com/download/iphone","Twitter for iPhone")</f>
        <v>Twitter for iPhone</v>
      </c>
      <c r="L1076" s="13">
        <v>2866</v>
      </c>
      <c r="M1076" s="13">
        <v>999</v>
      </c>
      <c r="N1076" s="13">
        <v>45</v>
      </c>
      <c r="O1076" s="15"/>
      <c r="P1076" s="6">
        <v>40612.292673611111</v>
      </c>
      <c r="Q1076" s="17" t="s">
        <v>3934</v>
      </c>
      <c r="R1076" s="16" t="s">
        <v>3935</v>
      </c>
      <c r="S1076" s="12"/>
      <c r="T1076" s="12"/>
      <c r="U1076" s="10" t="str">
        <f>HYPERLINK("https://pbs.twimg.com/profile_images/1050871193451094021/VjkUgdJO.jpg","View")</f>
        <v>View</v>
      </c>
    </row>
    <row r="1077" spans="1:21" ht="40.799999999999997">
      <c r="A1077" s="6">
        <v>43424.59679398148</v>
      </c>
      <c r="B1077" s="7" t="str">
        <f>HYPERLINK("https://twitter.com/Pepsina_Mataro","@Pepsina_Mataro")</f>
        <v>@Pepsina_Mataro</v>
      </c>
      <c r="C1077" s="8" t="s">
        <v>3936</v>
      </c>
      <c r="D1077" s="9" t="s">
        <v>3937</v>
      </c>
      <c r="E1077" s="10" t="str">
        <f>HYPERLINK("https://twitter.com/Pepsina_Mataro/status/1065006720521568262","1065006720521568262")</f>
        <v>1065006720521568262</v>
      </c>
      <c r="F1077" s="11" t="s">
        <v>320</v>
      </c>
      <c r="G1077" s="12"/>
      <c r="H1077" s="12"/>
      <c r="I1077" s="13">
        <v>2</v>
      </c>
      <c r="J1077" s="13">
        <v>2</v>
      </c>
      <c r="K1077" s="14" t="str">
        <f t="shared" ref="K1077:K1078" si="201">HYPERLINK("http://twitter.com","Twitter Web Client")</f>
        <v>Twitter Web Client</v>
      </c>
      <c r="L1077" s="13">
        <v>9483</v>
      </c>
      <c r="M1077" s="13">
        <v>524</v>
      </c>
      <c r="N1077" s="13">
        <v>120</v>
      </c>
      <c r="O1077" s="15"/>
      <c r="P1077" s="6">
        <v>40247.152789351851</v>
      </c>
      <c r="Q1077" s="17" t="s">
        <v>3938</v>
      </c>
      <c r="R1077" s="16" t="s">
        <v>3939</v>
      </c>
      <c r="S1077" s="11" t="s">
        <v>3940</v>
      </c>
      <c r="T1077" s="12"/>
      <c r="U1077" s="10" t="str">
        <f>HYPERLINK("https://pbs.twimg.com/profile_images/1003730106299215873/sHTpjoMo.png","View")</f>
        <v>View</v>
      </c>
    </row>
    <row r="1078" spans="1:21" ht="40.799999999999997">
      <c r="A1078" s="6">
        <v>43424.59376157407</v>
      </c>
      <c r="B1078" s="7" t="str">
        <f>HYPERLINK("https://twitter.com/enfermeroenfada","@enfermeroenfada")</f>
        <v>@enfermeroenfada</v>
      </c>
      <c r="C1078" s="8" t="s">
        <v>3116</v>
      </c>
      <c r="D1078" s="9" t="s">
        <v>3941</v>
      </c>
      <c r="E1078" s="10" t="str">
        <f>HYPERLINK("https://twitter.com/enfermeroenfada/status/1065005621290913793","1065005621290913793")</f>
        <v>1065005621290913793</v>
      </c>
      <c r="F1078" s="11" t="s">
        <v>3942</v>
      </c>
      <c r="G1078" s="12"/>
      <c r="H1078" s="12"/>
      <c r="I1078" s="13">
        <v>0</v>
      </c>
      <c r="J1078" s="13">
        <v>0</v>
      </c>
      <c r="K1078" s="14" t="str">
        <f t="shared" si="201"/>
        <v>Twitter Web Client</v>
      </c>
      <c r="L1078" s="13">
        <v>1456</v>
      </c>
      <c r="M1078" s="13">
        <v>693</v>
      </c>
      <c r="N1078" s="13">
        <v>56</v>
      </c>
      <c r="O1078" s="15"/>
      <c r="P1078" s="6">
        <v>40953.03634259259</v>
      </c>
      <c r="Q1078" s="17" t="s">
        <v>3119</v>
      </c>
      <c r="R1078" s="18"/>
      <c r="S1078" s="12"/>
      <c r="T1078" s="12"/>
      <c r="U1078" s="10" t="str">
        <f>HYPERLINK("https://pbs.twimg.com/profile_images/1833265279/enfermero18.jpg","View")</f>
        <v>View</v>
      </c>
    </row>
    <row r="1079" spans="1:21" ht="30.6">
      <c r="A1079" s="6">
        <v>43424.589062500003</v>
      </c>
      <c r="B1079" s="7" t="str">
        <f>HYPERLINK("https://twitter.com/CapitaJanMoixo","@CapitaJanMoixo")</f>
        <v>@CapitaJanMoixo</v>
      </c>
      <c r="C1079" s="8" t="s">
        <v>3943</v>
      </c>
      <c r="D1079" s="9" t="s">
        <v>3944</v>
      </c>
      <c r="E1079" s="10" t="str">
        <f>HYPERLINK("https://twitter.com/CapitaJanMoixo/status/1065003917770145792","1065003917770145792")</f>
        <v>1065003917770145792</v>
      </c>
      <c r="F1079" s="11" t="s">
        <v>2764</v>
      </c>
      <c r="G1079" s="12"/>
      <c r="H1079" s="12"/>
      <c r="I1079" s="13">
        <v>0</v>
      </c>
      <c r="J1079" s="13">
        <v>0</v>
      </c>
      <c r="K1079" s="14" t="str">
        <f t="shared" ref="K1079:K1080" si="202">HYPERLINK("http://twitter.com/download/android","Twitter for Android")</f>
        <v>Twitter for Android</v>
      </c>
      <c r="L1079" s="13">
        <v>1002</v>
      </c>
      <c r="M1079" s="13">
        <v>991</v>
      </c>
      <c r="N1079" s="13">
        <v>5</v>
      </c>
      <c r="O1079" s="15"/>
      <c r="P1079" s="6">
        <v>42164.380277777775</v>
      </c>
      <c r="Q1079" s="17" t="s">
        <v>3945</v>
      </c>
      <c r="R1079" s="16" t="s">
        <v>3946</v>
      </c>
      <c r="S1079" s="12"/>
      <c r="T1079" s="12"/>
      <c r="U1079" s="10" t="str">
        <f>HYPERLINK("https://pbs.twimg.com/profile_images/962339232105877505/iv6vkiS0.jpg","View")</f>
        <v>View</v>
      </c>
    </row>
    <row r="1080" spans="1:21" ht="20.399999999999999">
      <c r="A1080" s="6">
        <v>43424.588784722218</v>
      </c>
      <c r="B1080" s="7" t="str">
        <f>HYPERLINK("https://twitter.com/Amusa60151590","@Amusa60151590")</f>
        <v>@Amusa60151590</v>
      </c>
      <c r="C1080" s="8" t="s">
        <v>3947</v>
      </c>
      <c r="D1080" s="9" t="s">
        <v>3948</v>
      </c>
      <c r="E1080" s="10" t="str">
        <f>HYPERLINK("https://twitter.com/Amusa60151590/status/1065003816641286145","1065003816641286145")</f>
        <v>1065003816641286145</v>
      </c>
      <c r="F1080" s="12"/>
      <c r="G1080" s="12"/>
      <c r="H1080" s="12"/>
      <c r="I1080" s="13">
        <v>0</v>
      </c>
      <c r="J1080" s="13">
        <v>0</v>
      </c>
      <c r="K1080" s="14" t="str">
        <f t="shared" si="202"/>
        <v>Twitter for Android</v>
      </c>
      <c r="L1080" s="13">
        <v>4</v>
      </c>
      <c r="M1080" s="13">
        <v>69</v>
      </c>
      <c r="N1080" s="13">
        <v>0</v>
      </c>
      <c r="O1080" s="15"/>
      <c r="P1080" s="6">
        <v>43313.535532407404</v>
      </c>
      <c r="Q1080" s="12"/>
      <c r="R1080" s="18"/>
      <c r="S1080" s="12"/>
      <c r="T1080" s="12"/>
      <c r="U1080" s="19" t="s">
        <v>368</v>
      </c>
    </row>
    <row r="1081" spans="1:21" ht="30.6">
      <c r="A1081" s="6">
        <v>43424.588194444441</v>
      </c>
      <c r="B1081" s="7" t="str">
        <f>HYPERLINK("https://twitter.com/ElHuffPost","@ElHuffPost")</f>
        <v>@ElHuffPost</v>
      </c>
      <c r="C1081" s="8" t="s">
        <v>467</v>
      </c>
      <c r="D1081" s="9" t="s">
        <v>3949</v>
      </c>
      <c r="E1081" s="10" t="str">
        <f>HYPERLINK("https://twitter.com/ElHuffPost/status/1065003602400313344","1065003602400313344")</f>
        <v>1065003602400313344</v>
      </c>
      <c r="F1081" s="11" t="s">
        <v>3950</v>
      </c>
      <c r="G1081" s="12"/>
      <c r="H1081" s="12"/>
      <c r="I1081" s="13">
        <v>4</v>
      </c>
      <c r="J1081" s="13">
        <v>2</v>
      </c>
      <c r="K1081" s="14" t="str">
        <f>HYPERLINK("https://about.twitter.com/products/tweetdeck","TweetDeck")</f>
        <v>TweetDeck</v>
      </c>
      <c r="L1081" s="13">
        <v>430323</v>
      </c>
      <c r="M1081" s="13">
        <v>1532</v>
      </c>
      <c r="N1081" s="13">
        <v>8186</v>
      </c>
      <c r="O1081" s="19" t="s">
        <v>74</v>
      </c>
      <c r="P1081" s="6">
        <v>40784.652118055557</v>
      </c>
      <c r="Q1081" s="17" t="s">
        <v>203</v>
      </c>
      <c r="R1081" s="16" t="s">
        <v>471</v>
      </c>
      <c r="S1081" s="11" t="s">
        <v>472</v>
      </c>
      <c r="T1081" s="12"/>
      <c r="U1081" s="10" t="str">
        <f>HYPERLINK("https://pbs.twimg.com/profile_images/921140803422089217/ETOEUOAx.jpg","View")</f>
        <v>View</v>
      </c>
    </row>
    <row r="1082" spans="1:21" ht="20.399999999999999">
      <c r="A1082" s="6">
        <v>43424.58761574074</v>
      </c>
      <c r="B1082" s="7" t="str">
        <f>HYPERLINK("https://twitter.com/anagramapi","@anagramapi")</f>
        <v>@anagramapi</v>
      </c>
      <c r="C1082" s="8" t="s">
        <v>3951</v>
      </c>
      <c r="D1082" s="9" t="s">
        <v>3483</v>
      </c>
      <c r="E1082" s="10" t="str">
        <f>HYPERLINK("https://twitter.com/anagramapi/status/1065003391724720128","1065003391724720128")</f>
        <v>1065003391724720128</v>
      </c>
      <c r="F1082" s="11" t="s">
        <v>3484</v>
      </c>
      <c r="G1082" s="12"/>
      <c r="H1082" s="12"/>
      <c r="I1082" s="13">
        <v>0</v>
      </c>
      <c r="J1082" s="13">
        <v>0</v>
      </c>
      <c r="K1082" s="14" t="str">
        <f>HYPERLINK("http://twitter.com","Twitter Web Client")</f>
        <v>Twitter Web Client</v>
      </c>
      <c r="L1082" s="13">
        <v>301</v>
      </c>
      <c r="M1082" s="13">
        <v>616</v>
      </c>
      <c r="N1082" s="13">
        <v>8</v>
      </c>
      <c r="O1082" s="15"/>
      <c r="P1082" s="6">
        <v>40525.552523148144</v>
      </c>
      <c r="Q1082" s="17" t="s">
        <v>324</v>
      </c>
      <c r="R1082" s="16" t="s">
        <v>3952</v>
      </c>
      <c r="S1082" s="12"/>
      <c r="T1082" s="12"/>
      <c r="U1082" s="10" t="str">
        <f>HYPERLINK("https://pbs.twimg.com/profile_images/570716123441848321/Ndm4tI1b.jpeg","View")</f>
        <v>View</v>
      </c>
    </row>
    <row r="1083" spans="1:21" ht="91.8">
      <c r="A1083" s="6">
        <v>43424.587025462963</v>
      </c>
      <c r="B1083" s="7" t="str">
        <f>HYPERLINK("https://twitter.com/fray_fanatic","@fray_fanatic")</f>
        <v>@fray_fanatic</v>
      </c>
      <c r="C1083" s="8" t="s">
        <v>785</v>
      </c>
      <c r="D1083" s="9" t="s">
        <v>3953</v>
      </c>
      <c r="E1083" s="10" t="str">
        <f>HYPERLINK("https://twitter.com/fray_fanatic/status/1065003179232948230","1065003179232948230")</f>
        <v>1065003179232948230</v>
      </c>
      <c r="F1083" s="11" t="s">
        <v>2578</v>
      </c>
      <c r="G1083" s="11" t="s">
        <v>2579</v>
      </c>
      <c r="H1083" s="12"/>
      <c r="I1083" s="13">
        <v>4</v>
      </c>
      <c r="J1083" s="13">
        <v>11</v>
      </c>
      <c r="K1083" s="14" t="str">
        <f>HYPERLINK("http://twitter.com/download/android","Twitter for Android")</f>
        <v>Twitter for Android</v>
      </c>
      <c r="L1083" s="13">
        <v>7999</v>
      </c>
      <c r="M1083" s="13">
        <v>2546</v>
      </c>
      <c r="N1083" s="13">
        <v>171</v>
      </c>
      <c r="O1083" s="15"/>
      <c r="P1083" s="6">
        <v>40069.625532407408</v>
      </c>
      <c r="Q1083" s="17" t="s">
        <v>76</v>
      </c>
      <c r="R1083" s="16" t="s">
        <v>3954</v>
      </c>
      <c r="S1083" s="12"/>
      <c r="T1083" s="12"/>
      <c r="U1083" s="10" t="str">
        <f>HYPERLINK("https://pbs.twimg.com/profile_images/1014215099459035137/BgA6gzfV.jpg","View")</f>
        <v>View</v>
      </c>
    </row>
    <row r="1084" spans="1:21" ht="40.799999999999997">
      <c r="A1084" s="6">
        <v>43424.584016203706</v>
      </c>
      <c r="B1084" s="7" t="str">
        <f>HYPERLINK("https://twitter.com/Jota_POV","@Jota_POV")</f>
        <v>@Jota_POV</v>
      </c>
      <c r="C1084" s="8" t="s">
        <v>2440</v>
      </c>
      <c r="D1084" s="9" t="s">
        <v>3955</v>
      </c>
      <c r="E1084" s="10" t="str">
        <f>HYPERLINK("https://twitter.com/Jota_POV/status/1065002087380107271","1065002087380107271")</f>
        <v>1065002087380107271</v>
      </c>
      <c r="F1084" s="11" t="s">
        <v>3785</v>
      </c>
      <c r="G1084" s="11" t="s">
        <v>3956</v>
      </c>
      <c r="H1084" s="12"/>
      <c r="I1084" s="13">
        <v>0</v>
      </c>
      <c r="J1084" s="13">
        <v>0</v>
      </c>
      <c r="K1084" s="14" t="str">
        <f>HYPERLINK("http://publicize.wp.com/","WordPress.com")</f>
        <v>WordPress.com</v>
      </c>
      <c r="L1084" s="13">
        <v>4520</v>
      </c>
      <c r="M1084" s="13">
        <v>3201</v>
      </c>
      <c r="N1084" s="13">
        <v>50</v>
      </c>
      <c r="O1084" s="15"/>
      <c r="P1084" s="6">
        <v>41980.506006944444</v>
      </c>
      <c r="Q1084" s="12"/>
      <c r="R1084" s="16" t="s">
        <v>2444</v>
      </c>
      <c r="S1084" s="11" t="s">
        <v>2445</v>
      </c>
      <c r="T1084" s="12"/>
      <c r="U1084" s="10" t="str">
        <f>HYPERLINK("https://pbs.twimg.com/profile_images/947892020210798592/Rl5Z9RiM.jpg","View")</f>
        <v>View</v>
      </c>
    </row>
    <row r="1085" spans="1:21" ht="81.599999999999994">
      <c r="A1085" s="6">
        <v>43424.578935185185</v>
      </c>
      <c r="B1085" s="7" t="str">
        <f>HYPERLINK("https://twitter.com/pabloork","@pabloork")</f>
        <v>@pabloork</v>
      </c>
      <c r="C1085" s="8" t="s">
        <v>3957</v>
      </c>
      <c r="D1085" s="9" t="s">
        <v>3958</v>
      </c>
      <c r="E1085" s="10" t="str">
        <f>HYPERLINK("https://twitter.com/pabloork/status/1065000249738039298","1065000249738039298")</f>
        <v>1065000249738039298</v>
      </c>
      <c r="F1085" s="11" t="s">
        <v>3098</v>
      </c>
      <c r="G1085" s="11" t="s">
        <v>3099</v>
      </c>
      <c r="H1085" s="12"/>
      <c r="I1085" s="13">
        <v>0</v>
      </c>
      <c r="J1085" s="13">
        <v>0</v>
      </c>
      <c r="K1085" s="14" t="str">
        <f>HYPERLINK("http://twitter.com/download/android","Twitter for Android")</f>
        <v>Twitter for Android</v>
      </c>
      <c r="L1085" s="13">
        <v>188</v>
      </c>
      <c r="M1085" s="13">
        <v>533</v>
      </c>
      <c r="N1085" s="13">
        <v>5</v>
      </c>
      <c r="O1085" s="15"/>
      <c r="P1085" s="6">
        <v>40604.146296296298</v>
      </c>
      <c r="Q1085" s="17" t="s">
        <v>3959</v>
      </c>
      <c r="R1085" s="16" t="s">
        <v>3960</v>
      </c>
      <c r="S1085" s="12"/>
      <c r="T1085" s="12"/>
      <c r="U1085" s="10" t="str">
        <f>HYPERLINK("https://pbs.twimg.com/profile_images/1016230170238349313/V7usXoXj.jpg","View")</f>
        <v>View</v>
      </c>
    </row>
    <row r="1086" spans="1:21" ht="20.399999999999999">
      <c r="A1086" s="6">
        <v>43424.574664351851</v>
      </c>
      <c r="B1086" s="7" t="str">
        <f>HYPERLINK("https://twitter.com/VaroufakisSuper","@VaroufakisSuper")</f>
        <v>@VaroufakisSuper</v>
      </c>
      <c r="C1086" s="8" t="s">
        <v>3961</v>
      </c>
      <c r="D1086" s="9" t="s">
        <v>3962</v>
      </c>
      <c r="E1086" s="10" t="str">
        <f>HYPERLINK("https://twitter.com/VaroufakisSuper/status/1064998698831220742","1064998698831220742")</f>
        <v>1064998698831220742</v>
      </c>
      <c r="F1086" s="12"/>
      <c r="G1086" s="12"/>
      <c r="H1086" s="12"/>
      <c r="I1086" s="13">
        <v>2</v>
      </c>
      <c r="J1086" s="13">
        <v>4</v>
      </c>
      <c r="K1086" s="14" t="str">
        <f>HYPERLINK("http://twitter.com/download/iphone","Twitter for iPhone")</f>
        <v>Twitter for iPhone</v>
      </c>
      <c r="L1086" s="13">
        <v>663</v>
      </c>
      <c r="M1086" s="13">
        <v>109</v>
      </c>
      <c r="N1086" s="13">
        <v>6</v>
      </c>
      <c r="O1086" s="15"/>
      <c r="P1086" s="6">
        <v>42194.106006944443</v>
      </c>
      <c r="Q1086" s="12"/>
      <c r="R1086" s="16" t="s">
        <v>3963</v>
      </c>
      <c r="S1086" s="12"/>
      <c r="T1086" s="12"/>
      <c r="U1086" s="10" t="str">
        <f>HYPERLINK("https://pbs.twimg.com/profile_images/914438865162731521/IFXzTPbb.jpg","View")</f>
        <v>View</v>
      </c>
    </row>
    <row r="1087" spans="1:21" ht="40.799999999999997">
      <c r="A1087" s="6">
        <v>43424.573287037041</v>
      </c>
      <c r="B1087" s="7" t="str">
        <f>HYPERLINK("https://twitter.com/enzoferlauto","@enzoferlauto")</f>
        <v>@enzoferlauto</v>
      </c>
      <c r="C1087" s="8" t="s">
        <v>3964</v>
      </c>
      <c r="D1087" s="9" t="s">
        <v>3391</v>
      </c>
      <c r="E1087" s="10" t="str">
        <f>HYPERLINK("https://twitter.com/enzoferlauto/status/1064998200275361795","1064998200275361795")</f>
        <v>1064998200275361795</v>
      </c>
      <c r="F1087" s="11" t="s">
        <v>3633</v>
      </c>
      <c r="G1087" s="12"/>
      <c r="H1087" s="12"/>
      <c r="I1087" s="13">
        <v>0</v>
      </c>
      <c r="J1087" s="13">
        <v>0</v>
      </c>
      <c r="K1087" s="14" t="str">
        <f>HYPERLINK("https://twblue.es","TW Blue")</f>
        <v>TW Blue</v>
      </c>
      <c r="L1087" s="13">
        <v>571</v>
      </c>
      <c r="M1087" s="13">
        <v>523</v>
      </c>
      <c r="N1087" s="13">
        <v>6</v>
      </c>
      <c r="O1087" s="15"/>
      <c r="P1087" s="6">
        <v>40332.846828703703</v>
      </c>
      <c r="Q1087" s="17" t="s">
        <v>3965</v>
      </c>
      <c r="R1087" s="16" t="s">
        <v>3966</v>
      </c>
      <c r="S1087" s="11" t="s">
        <v>3967</v>
      </c>
      <c r="T1087" s="12"/>
      <c r="U1087" s="10" t="str">
        <f>HYPERLINK("https://pbs.twimg.com/profile_images/967160810/Radio_c.jpg","View")</f>
        <v>View</v>
      </c>
    </row>
    <row r="1088" spans="1:21" ht="40.799999999999997">
      <c r="A1088" s="6">
        <v>43424.571782407409</v>
      </c>
      <c r="B1088" s="7" t="str">
        <f>HYPERLINK("https://twitter.com/Petronilosmith2","@Petronilosmith2")</f>
        <v>@Petronilosmith2</v>
      </c>
      <c r="C1088" s="8" t="s">
        <v>3968</v>
      </c>
      <c r="D1088" s="9" t="s">
        <v>3969</v>
      </c>
      <c r="E1088" s="10" t="str">
        <f>HYPERLINK("https://twitter.com/Petronilosmith2/status/1064997656206999552","1064997656206999552")</f>
        <v>1064997656206999552</v>
      </c>
      <c r="F1088" s="12"/>
      <c r="G1088" s="12"/>
      <c r="H1088" s="12"/>
      <c r="I1088" s="13">
        <v>0</v>
      </c>
      <c r="J1088" s="13">
        <v>0</v>
      </c>
      <c r="K1088" s="14" t="str">
        <f>HYPERLINK("http://twitter.com/download/android","Twitter for Android")</f>
        <v>Twitter for Android</v>
      </c>
      <c r="L1088" s="13">
        <v>368</v>
      </c>
      <c r="M1088" s="13">
        <v>778</v>
      </c>
      <c r="N1088" s="13">
        <v>2</v>
      </c>
      <c r="O1088" s="15"/>
      <c r="P1088" s="6">
        <v>42671.05574074074</v>
      </c>
      <c r="Q1088" s="17" t="s">
        <v>3970</v>
      </c>
      <c r="R1088" s="16" t="s">
        <v>3971</v>
      </c>
      <c r="S1088" s="12"/>
      <c r="T1088" s="12"/>
      <c r="U1088" s="10" t="str">
        <f>HYPERLINK("https://pbs.twimg.com/profile_images/1056947805296775171/0idjpcZ8.jpg","View")</f>
        <v>View</v>
      </c>
    </row>
    <row r="1089" spans="1:21" ht="51">
      <c r="A1089" s="6">
        <v>43424.570335648154</v>
      </c>
      <c r="B1089" s="7" t="str">
        <f>HYPERLINK("https://twitter.com/BlaancaNiieves","@BlaancaNiieves")</f>
        <v>@BlaancaNiieves</v>
      </c>
      <c r="C1089" s="8" t="s">
        <v>49</v>
      </c>
      <c r="D1089" s="9" t="s">
        <v>3972</v>
      </c>
      <c r="E1089" s="10" t="str">
        <f>HYPERLINK("https://twitter.com/BlaancaNiieves/status/1064997132594278401","1064997132594278401")</f>
        <v>1064997132594278401</v>
      </c>
      <c r="F1089" s="11" t="s">
        <v>3637</v>
      </c>
      <c r="G1089" s="12"/>
      <c r="H1089" s="12"/>
      <c r="I1089" s="13">
        <v>1</v>
      </c>
      <c r="J1089" s="13">
        <v>0</v>
      </c>
      <c r="K1089" s="14" t="str">
        <f>HYPERLINK("http://twitter.com","Twitter Web Client")</f>
        <v>Twitter Web Client</v>
      </c>
      <c r="L1089" s="13">
        <v>12765</v>
      </c>
      <c r="M1089" s="13">
        <v>7062</v>
      </c>
      <c r="N1089" s="13">
        <v>179</v>
      </c>
      <c r="O1089" s="15"/>
      <c r="P1089" s="6">
        <v>40831.098078703704</v>
      </c>
      <c r="Q1089" s="17" t="s">
        <v>29</v>
      </c>
      <c r="R1089" s="16" t="s">
        <v>53</v>
      </c>
      <c r="S1089" s="12"/>
      <c r="T1089" s="12"/>
      <c r="U1089" s="10" t="str">
        <f>HYPERLINK("https://pbs.twimg.com/profile_images/2470680169/wsbnexryuc29zw10olvt.jpeg","View")</f>
        <v>View</v>
      </c>
    </row>
    <row r="1090" spans="1:21" ht="20.399999999999999">
      <c r="A1090" s="6">
        <v>43424.564074074078</v>
      </c>
      <c r="B1090" s="7" t="str">
        <f>HYPERLINK("https://twitter.com/ppfines","@ppfines")</f>
        <v>@ppfines</v>
      </c>
      <c r="C1090" s="8" t="s">
        <v>3973</v>
      </c>
      <c r="D1090" s="9" t="s">
        <v>3974</v>
      </c>
      <c r="E1090" s="10" t="str">
        <f>HYPERLINK("https://twitter.com/ppfines/status/1064994863920439298","1064994863920439298")</f>
        <v>1064994863920439298</v>
      </c>
      <c r="F1090" s="11" t="s">
        <v>3975</v>
      </c>
      <c r="G1090" s="12"/>
      <c r="H1090" s="12"/>
      <c r="I1090" s="13">
        <v>0</v>
      </c>
      <c r="J1090" s="13">
        <v>0</v>
      </c>
      <c r="K1090" s="14" t="str">
        <f>HYPERLINK("http://www.facebook.com/twitter","Facebook")</f>
        <v>Facebook</v>
      </c>
      <c r="L1090" s="13">
        <v>41</v>
      </c>
      <c r="M1090" s="13">
        <v>56</v>
      </c>
      <c r="N1090" s="13">
        <v>0</v>
      </c>
      <c r="O1090" s="15"/>
      <c r="P1090" s="6">
        <v>42116.152037037042</v>
      </c>
      <c r="Q1090" s="12"/>
      <c r="R1090" s="18"/>
      <c r="S1090" s="12"/>
      <c r="T1090" s="12"/>
      <c r="U1090" s="10" t="str">
        <f>HYPERLINK("https://pbs.twimg.com/profile_images/590829782461382656/x9stJ58G.jpg","View")</f>
        <v>View</v>
      </c>
    </row>
    <row r="1091" spans="1:21" ht="40.799999999999997">
      <c r="A1091" s="6">
        <v>43424.563611111109</v>
      </c>
      <c r="B1091" s="7" t="str">
        <f>HYPERLINK("https://twitter.com/BlaancaNiieves","@BlaancaNiieves")</f>
        <v>@BlaancaNiieves</v>
      </c>
      <c r="C1091" s="8" t="s">
        <v>49</v>
      </c>
      <c r="D1091" s="9" t="s">
        <v>3976</v>
      </c>
      <c r="E1091" s="10" t="str">
        <f>HYPERLINK("https://twitter.com/BlaancaNiieves/status/1064994694835445761","1064994694835445761")</f>
        <v>1064994694835445761</v>
      </c>
      <c r="F1091" s="11" t="s">
        <v>3368</v>
      </c>
      <c r="G1091" s="12"/>
      <c r="H1091" s="12"/>
      <c r="I1091" s="13">
        <v>1</v>
      </c>
      <c r="J1091" s="13">
        <v>0</v>
      </c>
      <c r="K1091" s="14" t="str">
        <f>HYPERLINK("http://twitter.com","Twitter Web Client")</f>
        <v>Twitter Web Client</v>
      </c>
      <c r="L1091" s="13">
        <v>12765</v>
      </c>
      <c r="M1091" s="13">
        <v>7062</v>
      </c>
      <c r="N1091" s="13">
        <v>179</v>
      </c>
      <c r="O1091" s="15"/>
      <c r="P1091" s="6">
        <v>40831.098078703704</v>
      </c>
      <c r="Q1091" s="17" t="s">
        <v>29</v>
      </c>
      <c r="R1091" s="16" t="s">
        <v>53</v>
      </c>
      <c r="S1091" s="12"/>
      <c r="T1091" s="12"/>
      <c r="U1091" s="10" t="str">
        <f>HYPERLINK("https://pbs.twimg.com/profile_images/2470680169/wsbnexryuc29zw10olvt.jpeg","View")</f>
        <v>View</v>
      </c>
    </row>
    <row r="1092" spans="1:21" ht="51">
      <c r="A1092" s="6">
        <v>43424.551620370374</v>
      </c>
      <c r="B1092" s="7" t="str">
        <f>HYPERLINK("https://twitter.com/Vox_Cantabria","@Vox_Cantabria")</f>
        <v>@Vox_Cantabria</v>
      </c>
      <c r="C1092" s="8" t="s">
        <v>3977</v>
      </c>
      <c r="D1092" s="9" t="s">
        <v>3978</v>
      </c>
      <c r="E1092" s="10" t="str">
        <f>HYPERLINK("https://twitter.com/Vox_Cantabria/status/1064990348282404864","1064990348282404864")</f>
        <v>1064990348282404864</v>
      </c>
      <c r="F1092" s="11" t="s">
        <v>3979</v>
      </c>
      <c r="G1092" s="12"/>
      <c r="H1092" s="12"/>
      <c r="I1092" s="13">
        <v>3</v>
      </c>
      <c r="J1092" s="13">
        <v>5</v>
      </c>
      <c r="K1092" s="14" t="str">
        <f>HYPERLINK("http://www.facebook.com/twitter","Facebook")</f>
        <v>Facebook</v>
      </c>
      <c r="L1092" s="13">
        <v>1818</v>
      </c>
      <c r="M1092" s="13">
        <v>367</v>
      </c>
      <c r="N1092" s="13">
        <v>15</v>
      </c>
      <c r="O1092" s="15"/>
      <c r="P1092" s="6">
        <v>42324.242812500001</v>
      </c>
      <c r="Q1092" s="17" t="s">
        <v>3980</v>
      </c>
      <c r="R1092" s="16" t="s">
        <v>3981</v>
      </c>
      <c r="S1092" s="11" t="s">
        <v>3982</v>
      </c>
      <c r="T1092" s="12"/>
      <c r="U1092" s="10" t="str">
        <f>HYPERLINK("https://pbs.twimg.com/profile_images/1050711617770524678/NRqnfMNA.jpg","View")</f>
        <v>View</v>
      </c>
    </row>
    <row r="1093" spans="1:21" ht="51">
      <c r="A1093" s="6">
        <v>43424.549201388887</v>
      </c>
      <c r="B1093" s="7" t="str">
        <f>HYPERLINK("https://twitter.com/MorenoG_Agustin","@MorenoG_Agustin")</f>
        <v>@MorenoG_Agustin</v>
      </c>
      <c r="C1093" s="8" t="s">
        <v>3983</v>
      </c>
      <c r="D1093" s="9" t="s">
        <v>3984</v>
      </c>
      <c r="E1093" s="10" t="str">
        <f>HYPERLINK("https://twitter.com/MorenoG_Agustin/status/1064989471387586565","1064989471387586565")</f>
        <v>1064989471387586565</v>
      </c>
      <c r="F1093" s="12"/>
      <c r="G1093" s="12"/>
      <c r="H1093" s="12"/>
      <c r="I1093" s="13">
        <v>192</v>
      </c>
      <c r="J1093" s="13">
        <v>340</v>
      </c>
      <c r="K1093" s="14" t="str">
        <f>HYPERLINK("https://mobile.twitter.com","Twitter Lite")</f>
        <v>Twitter Lite</v>
      </c>
      <c r="L1093" s="13">
        <v>52306</v>
      </c>
      <c r="M1093" s="13">
        <v>29598</v>
      </c>
      <c r="N1093" s="13">
        <v>556</v>
      </c>
      <c r="O1093" s="15"/>
      <c r="P1093" s="6">
        <v>41203.537627314814</v>
      </c>
      <c r="Q1093" s="12"/>
      <c r="R1093" s="16" t="s">
        <v>3985</v>
      </c>
      <c r="S1093" s="12"/>
      <c r="T1093" s="12"/>
      <c r="U1093" s="10" t="str">
        <f>HYPERLINK("https://pbs.twimg.com/profile_images/822517815538315266/8_qQt3sS.jpg","View")</f>
        <v>View</v>
      </c>
    </row>
    <row r="1094" spans="1:21" ht="40.799999999999997">
      <c r="A1094" s="6">
        <v>43424.549062499995</v>
      </c>
      <c r="B1094" s="7" t="str">
        <f>HYPERLINK("https://twitter.com/josegabriel467","@josegabriel467")</f>
        <v>@josegabriel467</v>
      </c>
      <c r="C1094" s="8" t="s">
        <v>1744</v>
      </c>
      <c r="D1094" s="9" t="s">
        <v>3986</v>
      </c>
      <c r="E1094" s="10" t="str">
        <f>HYPERLINK("https://twitter.com/josegabriel467/status/1064989422104576007","1064989422104576007")</f>
        <v>1064989422104576007</v>
      </c>
      <c r="F1094" s="12"/>
      <c r="G1094" s="12"/>
      <c r="H1094" s="12"/>
      <c r="I1094" s="13">
        <v>0</v>
      </c>
      <c r="J1094" s="13">
        <v>0</v>
      </c>
      <c r="K1094" s="14" t="str">
        <f>HYPERLINK("http://www.facebook.com/twitter","Facebook")</f>
        <v>Facebook</v>
      </c>
      <c r="L1094" s="13">
        <v>1624</v>
      </c>
      <c r="M1094" s="13">
        <v>1609</v>
      </c>
      <c r="N1094" s="13">
        <v>23</v>
      </c>
      <c r="O1094" s="15"/>
      <c r="P1094" s="6">
        <v>40844.160150462965</v>
      </c>
      <c r="Q1094" s="17" t="s">
        <v>29</v>
      </c>
      <c r="R1094" s="16" t="s">
        <v>1746</v>
      </c>
      <c r="S1094" s="11" t="s">
        <v>1747</v>
      </c>
      <c r="T1094" s="12"/>
      <c r="U1094" s="10" t="str">
        <f>HYPERLINK("https://pbs.twimg.com/profile_images/864586721966436354/WwV_o0gL.jpg","View")</f>
        <v>View</v>
      </c>
    </row>
    <row r="1095" spans="1:21" ht="20.399999999999999">
      <c r="A1095" s="6">
        <v>43424.549039351856</v>
      </c>
      <c r="B1095" s="7" t="str">
        <f>HYPERLINK("https://twitter.com/Roberto3rrr","@Roberto3rrr")</f>
        <v>@Roberto3rrr</v>
      </c>
      <c r="C1095" s="8" t="s">
        <v>3987</v>
      </c>
      <c r="D1095" s="9" t="s">
        <v>3988</v>
      </c>
      <c r="E1095" s="10" t="str">
        <f>HYPERLINK("https://twitter.com/Roberto3rrr/status/1064989412767993857","1064989412767993857")</f>
        <v>1064989412767993857</v>
      </c>
      <c r="F1095" s="11" t="s">
        <v>3989</v>
      </c>
      <c r="G1095" s="12"/>
      <c r="H1095" s="12"/>
      <c r="I1095" s="13">
        <v>0</v>
      </c>
      <c r="J1095" s="13">
        <v>0</v>
      </c>
      <c r="K1095" s="14" t="str">
        <f>HYPERLINK("https://www.google.com/","Google")</f>
        <v>Google</v>
      </c>
      <c r="L1095" s="13">
        <v>862</v>
      </c>
      <c r="M1095" s="13">
        <v>2051</v>
      </c>
      <c r="N1095" s="13">
        <v>8</v>
      </c>
      <c r="O1095" s="15"/>
      <c r="P1095" s="6">
        <v>41788.247928240744</v>
      </c>
      <c r="Q1095" s="12"/>
      <c r="R1095" s="18"/>
      <c r="S1095" s="12"/>
      <c r="T1095" s="12"/>
      <c r="U1095" s="10" t="str">
        <f>HYPERLINK("https://pbs.twimg.com/profile_images/731291098627346432/eie_rpat.jpg","View")</f>
        <v>View</v>
      </c>
    </row>
    <row r="1096" spans="1:21" ht="51">
      <c r="A1096" s="6">
        <v>43424.546932870369</v>
      </c>
      <c r="B1096" s="7" t="str">
        <f>HYPERLINK("https://twitter.com/7_ZeRoIo","@7_ZeRoIo")</f>
        <v>@7_ZeRoIo</v>
      </c>
      <c r="C1096" s="8" t="s">
        <v>2989</v>
      </c>
      <c r="D1096" s="9" t="s">
        <v>3990</v>
      </c>
      <c r="E1096" s="10" t="str">
        <f>HYPERLINK("https://twitter.com/7_ZeRoIo/status/1064988651103358976","1064988651103358976")</f>
        <v>1064988651103358976</v>
      </c>
      <c r="F1096" s="12"/>
      <c r="G1096" s="12"/>
      <c r="H1096" s="12"/>
      <c r="I1096" s="13">
        <v>2</v>
      </c>
      <c r="J1096" s="13">
        <v>4</v>
      </c>
      <c r="K1096" s="14" t="str">
        <f t="shared" ref="K1096:K1097" si="203">HYPERLINK("http://twitter.com/download/android","Twitter for Android")</f>
        <v>Twitter for Android</v>
      </c>
      <c r="L1096" s="13">
        <v>2965</v>
      </c>
      <c r="M1096" s="13">
        <v>3738</v>
      </c>
      <c r="N1096" s="13">
        <v>2</v>
      </c>
      <c r="O1096" s="15"/>
      <c r="P1096" s="6">
        <v>42329.421481481477</v>
      </c>
      <c r="Q1096" s="17" t="s">
        <v>2992</v>
      </c>
      <c r="R1096" s="16" t="s">
        <v>2993</v>
      </c>
      <c r="S1096" s="12"/>
      <c r="T1096" s="12"/>
      <c r="U1096" s="10" t="str">
        <f>HYPERLINK("https://pbs.twimg.com/profile_images/1057754774085476352/Zcy5ihHq.jpg","View")</f>
        <v>View</v>
      </c>
    </row>
    <row r="1097" spans="1:21" ht="40.799999999999997">
      <c r="A1097" s="6">
        <v>43424.544594907406</v>
      </c>
      <c r="B1097" s="7" t="str">
        <f>HYPERLINK("https://twitter.com/vectormgmg1","@vectormgmg1")</f>
        <v>@vectormgmg1</v>
      </c>
      <c r="C1097" s="8" t="s">
        <v>3991</v>
      </c>
      <c r="D1097" s="9" t="s">
        <v>3992</v>
      </c>
      <c r="E1097" s="10" t="str">
        <f>HYPERLINK("https://twitter.com/vectormgmg1/status/1064987801756860416","1064987801756860416")</f>
        <v>1064987801756860416</v>
      </c>
      <c r="F1097" s="12"/>
      <c r="G1097" s="12"/>
      <c r="H1097" s="12"/>
      <c r="I1097" s="13">
        <v>0</v>
      </c>
      <c r="J1097" s="13">
        <v>1</v>
      </c>
      <c r="K1097" s="14" t="str">
        <f t="shared" si="203"/>
        <v>Twitter for Android</v>
      </c>
      <c r="L1097" s="13">
        <v>193</v>
      </c>
      <c r="M1097" s="13">
        <v>199</v>
      </c>
      <c r="N1097" s="13">
        <v>23</v>
      </c>
      <c r="O1097" s="15"/>
      <c r="P1097" s="6">
        <v>42180.666018518517</v>
      </c>
      <c r="Q1097" s="17" t="s">
        <v>3993</v>
      </c>
      <c r="R1097" s="16" t="s">
        <v>3994</v>
      </c>
      <c r="S1097" s="11" t="s">
        <v>3995</v>
      </c>
      <c r="T1097" s="12"/>
      <c r="U1097" s="10" t="str">
        <f>HYPERLINK("https://pbs.twimg.com/profile_images/1025167742020796417/VlePntt-.jpg","View")</f>
        <v>View</v>
      </c>
    </row>
    <row r="1098" spans="1:21" ht="30.6">
      <c r="A1098" s="6">
        <v>43424.540972222225</v>
      </c>
      <c r="B1098" s="7" t="str">
        <f>HYPERLINK("https://twitter.com/dosisdhumor","@dosisdhumor")</f>
        <v>@dosisdhumor</v>
      </c>
      <c r="C1098" s="8" t="s">
        <v>3996</v>
      </c>
      <c r="D1098" s="9" t="s">
        <v>3391</v>
      </c>
      <c r="E1098" s="10" t="str">
        <f>HYPERLINK("https://twitter.com/dosisdhumor/status/1064986489514328067","1064986489514328067")</f>
        <v>1064986489514328067</v>
      </c>
      <c r="F1098" s="11" t="s">
        <v>3997</v>
      </c>
      <c r="G1098" s="12"/>
      <c r="H1098" s="12"/>
      <c r="I1098" s="13">
        <v>0</v>
      </c>
      <c r="J1098" s="13">
        <v>0</v>
      </c>
      <c r="K1098" s="14" t="str">
        <f>HYPERLINK("https://buffer.com","Buffer")</f>
        <v>Buffer</v>
      </c>
      <c r="L1098" s="13">
        <v>2591</v>
      </c>
      <c r="M1098" s="13">
        <v>2179</v>
      </c>
      <c r="N1098" s="13">
        <v>23</v>
      </c>
      <c r="O1098" s="15"/>
      <c r="P1098" s="6">
        <v>41744.425127314811</v>
      </c>
      <c r="Q1098" s="17" t="s">
        <v>3998</v>
      </c>
      <c r="R1098" s="16" t="s">
        <v>3999</v>
      </c>
      <c r="S1098" s="12"/>
      <c r="T1098" s="12"/>
      <c r="U1098" s="10" t="str">
        <f>HYPERLINK("https://pbs.twimg.com/profile_images/456118654862516224/q4HjcWSU.jpeg","View")</f>
        <v>View</v>
      </c>
    </row>
    <row r="1099" spans="1:21" ht="30.6">
      <c r="A1099" s="6">
        <v>43424.539004629631</v>
      </c>
      <c r="B1099" s="7" t="str">
        <f>HYPERLINK("https://twitter.com/C_regulinchis","@C_regulinchis")</f>
        <v>@C_regulinchis</v>
      </c>
      <c r="C1099" s="8" t="s">
        <v>4000</v>
      </c>
      <c r="D1099" s="9" t="s">
        <v>4001</v>
      </c>
      <c r="E1099" s="10" t="str">
        <f>HYPERLINK("https://twitter.com/C_regulinchis/status/1064985778533617665","1064985778533617665")</f>
        <v>1064985778533617665</v>
      </c>
      <c r="F1099" s="12"/>
      <c r="G1099" s="12"/>
      <c r="H1099" s="12"/>
      <c r="I1099" s="13">
        <v>0</v>
      </c>
      <c r="J1099" s="13">
        <v>1</v>
      </c>
      <c r="K1099" s="14" t="str">
        <f>HYPERLINK("http://twitter.com/download/android","Twitter for Android")</f>
        <v>Twitter for Android</v>
      </c>
      <c r="L1099" s="13">
        <v>644</v>
      </c>
      <c r="M1099" s="13">
        <v>596</v>
      </c>
      <c r="N1099" s="13">
        <v>20</v>
      </c>
      <c r="O1099" s="15"/>
      <c r="P1099" s="6">
        <v>41305.467175925922</v>
      </c>
      <c r="Q1099" s="17" t="s">
        <v>4002</v>
      </c>
      <c r="R1099" s="16" t="s">
        <v>4003</v>
      </c>
      <c r="S1099" s="11" t="s">
        <v>4004</v>
      </c>
      <c r="T1099" s="12"/>
      <c r="U1099" s="10" t="str">
        <f>HYPERLINK("https://pbs.twimg.com/profile_images/1058020241366831104/pjbna6ku.jpg","View")</f>
        <v>View</v>
      </c>
    </row>
    <row r="1100" spans="1:21" ht="40.799999999999997">
      <c r="A1100" s="6">
        <v>43424.538449074069</v>
      </c>
      <c r="B1100" s="7" t="str">
        <f>HYPERLINK("https://twitter.com/El_Intermedio","@El_Intermedio")</f>
        <v>@El_Intermedio</v>
      </c>
      <c r="C1100" s="8" t="s">
        <v>4005</v>
      </c>
      <c r="D1100" s="9" t="s">
        <v>4006</v>
      </c>
      <c r="E1100" s="10" t="str">
        <f>HYPERLINK("https://twitter.com/El_Intermedio/status/1064985575826935808","1064985575826935808")</f>
        <v>1064985575826935808</v>
      </c>
      <c r="F1100" s="11" t="s">
        <v>4007</v>
      </c>
      <c r="G1100" s="11" t="s">
        <v>4008</v>
      </c>
      <c r="H1100" s="12"/>
      <c r="I1100" s="13">
        <v>8</v>
      </c>
      <c r="J1100" s="13">
        <v>11</v>
      </c>
      <c r="K1100" s="14" t="str">
        <f>HYPERLINK("http://snappytv.com","SnappyTV.com")</f>
        <v>SnappyTV.com</v>
      </c>
      <c r="L1100" s="13">
        <v>1009813</v>
      </c>
      <c r="M1100" s="13">
        <v>1771</v>
      </c>
      <c r="N1100" s="13">
        <v>4849</v>
      </c>
      <c r="O1100" s="19" t="s">
        <v>74</v>
      </c>
      <c r="P1100" s="6">
        <v>39692.110879629632</v>
      </c>
      <c r="Q1100" s="17" t="s">
        <v>29</v>
      </c>
      <c r="R1100" s="16" t="s">
        <v>4009</v>
      </c>
      <c r="S1100" s="11" t="s">
        <v>4010</v>
      </c>
      <c r="T1100" s="12"/>
      <c r="U1100" s="10" t="str">
        <f>HYPERLINK("https://pbs.twimg.com/profile_images/1037049026523348992/kW9y-kbu.jpg","View")</f>
        <v>View</v>
      </c>
    </row>
    <row r="1101" spans="1:21" ht="20.399999999999999">
      <c r="A1101" s="6">
        <v>43424.535312499997</v>
      </c>
      <c r="B1101" s="7" t="str">
        <f>HYPERLINK("https://twitter.com/GlezFeder","@GlezFeder")</f>
        <v>@GlezFeder</v>
      </c>
      <c r="C1101" s="8" t="s">
        <v>4011</v>
      </c>
      <c r="D1101" s="9" t="s">
        <v>4012</v>
      </c>
      <c r="E1101" s="10" t="str">
        <f>HYPERLINK("https://twitter.com/GlezFeder/status/1064984440185733120","1064984440185733120")</f>
        <v>1064984440185733120</v>
      </c>
      <c r="F1101" s="11" t="s">
        <v>4013</v>
      </c>
      <c r="G1101" s="12"/>
      <c r="H1101" s="12"/>
      <c r="I1101" s="13">
        <v>0</v>
      </c>
      <c r="J1101" s="13">
        <v>0</v>
      </c>
      <c r="K1101" s="14" t="str">
        <f>HYPERLINK("http://twitter.com","Twitter Web Client")</f>
        <v>Twitter Web Client</v>
      </c>
      <c r="L1101" s="13">
        <v>208</v>
      </c>
      <c r="M1101" s="13">
        <v>262</v>
      </c>
      <c r="N1101" s="13">
        <v>2</v>
      </c>
      <c r="O1101" s="15"/>
      <c r="P1101" s="6">
        <v>43247.450613425928</v>
      </c>
      <c r="Q1101" s="17" t="s">
        <v>4014</v>
      </c>
      <c r="R1101" s="16" t="s">
        <v>4015</v>
      </c>
      <c r="S1101" s="12"/>
      <c r="T1101" s="12"/>
      <c r="U1101" s="10" t="str">
        <f>HYPERLINK("https://pbs.twimg.com/profile_images/1060247976700973056/3K9K-vjB.jpg","View")</f>
        <v>View</v>
      </c>
    </row>
    <row r="1102" spans="1:21" ht="20.399999999999999">
      <c r="A1102" s="6">
        <v>43424.533715277779</v>
      </c>
      <c r="B1102" s="7" t="str">
        <f>HYPERLINK("https://twitter.com/Pepa63306772","@Pepa63306772")</f>
        <v>@Pepa63306772</v>
      </c>
      <c r="C1102" s="8" t="s">
        <v>4016</v>
      </c>
      <c r="D1102" s="9" t="s">
        <v>4017</v>
      </c>
      <c r="E1102" s="10" t="str">
        <f>HYPERLINK("https://twitter.com/Pepa63306772/status/1064983861405331456","1064983861405331456")</f>
        <v>1064983861405331456</v>
      </c>
      <c r="F1102" s="11" t="s">
        <v>4018</v>
      </c>
      <c r="G1102" s="12"/>
      <c r="H1102" s="12"/>
      <c r="I1102" s="13">
        <v>15</v>
      </c>
      <c r="J1102" s="13">
        <v>16</v>
      </c>
      <c r="K1102" s="14" t="str">
        <f>HYPERLINK("http://twitter.com/download/android","Twitter for Android")</f>
        <v>Twitter for Android</v>
      </c>
      <c r="L1102" s="13">
        <v>778</v>
      </c>
      <c r="M1102" s="13">
        <v>833</v>
      </c>
      <c r="N1102" s="13">
        <v>1</v>
      </c>
      <c r="O1102" s="15"/>
      <c r="P1102" s="6">
        <v>43109.644930555558</v>
      </c>
      <c r="Q1102" s="12"/>
      <c r="R1102" s="18"/>
      <c r="S1102" s="12"/>
      <c r="T1102" s="12"/>
      <c r="U1102" s="10" t="str">
        <f>HYPERLINK("https://pbs.twimg.com/profile_images/1015313100260683777/skS-dM_P.jpg","View")</f>
        <v>View</v>
      </c>
    </row>
    <row r="1103" spans="1:21" ht="20.399999999999999">
      <c r="A1103" s="6">
        <v>43424.530868055561</v>
      </c>
      <c r="B1103" s="7" t="str">
        <f>HYPERLINK("https://twitter.com/taoista56","@taoista56")</f>
        <v>@taoista56</v>
      </c>
      <c r="C1103" s="8" t="s">
        <v>1540</v>
      </c>
      <c r="D1103" s="9" t="s">
        <v>4019</v>
      </c>
      <c r="E1103" s="10" t="str">
        <f>HYPERLINK("https://twitter.com/taoista56/status/1064982830860636162","1064982830860636162")</f>
        <v>1064982830860636162</v>
      </c>
      <c r="F1103" s="11" t="s">
        <v>4020</v>
      </c>
      <c r="G1103" s="12"/>
      <c r="H1103" s="12"/>
      <c r="I1103" s="13">
        <v>0</v>
      </c>
      <c r="J1103" s="13">
        <v>0</v>
      </c>
      <c r="K1103" s="14" t="str">
        <f>HYPERLINK("http://twitter.com","Twitter Web Client")</f>
        <v>Twitter Web Client</v>
      </c>
      <c r="L1103" s="13">
        <v>579</v>
      </c>
      <c r="M1103" s="13">
        <v>1914</v>
      </c>
      <c r="N1103" s="13">
        <v>6</v>
      </c>
      <c r="O1103" s="15"/>
      <c r="P1103" s="6">
        <v>40819.501863425925</v>
      </c>
      <c r="Q1103" s="17" t="s">
        <v>1541</v>
      </c>
      <c r="R1103" s="18"/>
      <c r="S1103" s="12"/>
      <c r="T1103" s="12"/>
      <c r="U1103" s="10" t="str">
        <f>HYPERLINK("https://pbs.twimg.com/profile_images/694232062031740928/1tub_Vsu.png","View")</f>
        <v>View</v>
      </c>
    </row>
    <row r="1104" spans="1:21" ht="40.799999999999997">
      <c r="A1104" s="6">
        <v>43424.530763888892</v>
      </c>
      <c r="B1104" s="7" t="str">
        <f>HYPERLINK("https://twitter.com/El_Intermedio","@El_Intermedio")</f>
        <v>@El_Intermedio</v>
      </c>
      <c r="C1104" s="8" t="s">
        <v>4005</v>
      </c>
      <c r="D1104" s="9" t="s">
        <v>4021</v>
      </c>
      <c r="E1104" s="10" t="str">
        <f>HYPERLINK("https://twitter.com/El_Intermedio/status/1064982792591691776","1064982792591691776")</f>
        <v>1064982792591691776</v>
      </c>
      <c r="F1104" s="11" t="s">
        <v>4007</v>
      </c>
      <c r="G1104" s="11" t="s">
        <v>4022</v>
      </c>
      <c r="H1104" s="12"/>
      <c r="I1104" s="13">
        <v>11</v>
      </c>
      <c r="J1104" s="13">
        <v>39</v>
      </c>
      <c r="K1104" s="14" t="str">
        <f>HYPERLINK("http://snappytv.com","SnappyTV.com")</f>
        <v>SnappyTV.com</v>
      </c>
      <c r="L1104" s="13">
        <v>1009813</v>
      </c>
      <c r="M1104" s="13">
        <v>1771</v>
      </c>
      <c r="N1104" s="13">
        <v>4849</v>
      </c>
      <c r="O1104" s="19" t="s">
        <v>74</v>
      </c>
      <c r="P1104" s="6">
        <v>39692.110879629632</v>
      </c>
      <c r="Q1104" s="17" t="s">
        <v>29</v>
      </c>
      <c r="R1104" s="16" t="s">
        <v>4009</v>
      </c>
      <c r="S1104" s="11" t="s">
        <v>4010</v>
      </c>
      <c r="T1104" s="12"/>
      <c r="U1104" s="10" t="str">
        <f>HYPERLINK("https://pbs.twimg.com/profile_images/1037049026523348992/kW9y-kbu.jpg","View")</f>
        <v>View</v>
      </c>
    </row>
    <row r="1105" spans="1:21" ht="30.6">
      <c r="A1105" s="6">
        <v>43424.521041666667</v>
      </c>
      <c r="B1105" s="7" t="str">
        <f>HYPERLINK("https://twitter.com/josecarloscurto","@josecarloscurto")</f>
        <v>@josecarloscurto</v>
      </c>
      <c r="C1105" s="8" t="s">
        <v>4023</v>
      </c>
      <c r="D1105" s="9" t="s">
        <v>3974</v>
      </c>
      <c r="E1105" s="10" t="str">
        <f>HYPERLINK("https://twitter.com/josecarloscurto/status/1064979267539410945","1064979267539410945")</f>
        <v>1064979267539410945</v>
      </c>
      <c r="F1105" s="11" t="s">
        <v>3975</v>
      </c>
      <c r="G1105" s="12"/>
      <c r="H1105" s="12"/>
      <c r="I1105" s="13">
        <v>0</v>
      </c>
      <c r="J1105" s="13">
        <v>0</v>
      </c>
      <c r="K1105" s="14" t="str">
        <f>HYPERLINK("http://www.facebook.com/twitter","Facebook")</f>
        <v>Facebook</v>
      </c>
      <c r="L1105" s="13">
        <v>1325</v>
      </c>
      <c r="M1105" s="13">
        <v>2037</v>
      </c>
      <c r="N1105" s="13">
        <v>6</v>
      </c>
      <c r="O1105" s="15"/>
      <c r="P1105" s="6">
        <v>40852.166342592594</v>
      </c>
      <c r="Q1105" s="17" t="s">
        <v>4024</v>
      </c>
      <c r="R1105" s="16" t="s">
        <v>4025</v>
      </c>
      <c r="S1105" s="11" t="s">
        <v>4026</v>
      </c>
      <c r="T1105" s="12"/>
      <c r="U1105" s="10" t="str">
        <f>HYPERLINK("https://pbs.twimg.com/profile_images/870174534003032064/ybuCRQ0A.jpg","View")</f>
        <v>View</v>
      </c>
    </row>
    <row r="1106" spans="1:21" ht="20.399999999999999">
      <c r="A1106" s="6">
        <v>43424.517881944441</v>
      </c>
      <c r="B1106" s="7" t="str">
        <f>HYPERLINK("https://twitter.com/mcsolers","@mcsolers")</f>
        <v>@mcsolers</v>
      </c>
      <c r="C1106" s="8" t="s">
        <v>4027</v>
      </c>
      <c r="D1106" s="9" t="s">
        <v>4028</v>
      </c>
      <c r="E1106" s="10" t="str">
        <f>HYPERLINK("https://twitter.com/mcsolers/status/1064978121798103040","1064978121798103040")</f>
        <v>1064978121798103040</v>
      </c>
      <c r="F1106" s="11" t="s">
        <v>4029</v>
      </c>
      <c r="G1106" s="12"/>
      <c r="H1106" s="12"/>
      <c r="I1106" s="13">
        <v>0</v>
      </c>
      <c r="J1106" s="13">
        <v>0</v>
      </c>
      <c r="K1106" s="14" t="str">
        <f t="shared" ref="K1106:K1107" si="204">HYPERLINK("http://twitter.com","Twitter Web Client")</f>
        <v>Twitter Web Client</v>
      </c>
      <c r="L1106" s="13">
        <v>657</v>
      </c>
      <c r="M1106" s="13">
        <v>898</v>
      </c>
      <c r="N1106" s="13">
        <v>8</v>
      </c>
      <c r="O1106" s="15"/>
      <c r="P1106" s="6">
        <v>40681.679861111115</v>
      </c>
      <c r="Q1106" s="17" t="s">
        <v>4031</v>
      </c>
      <c r="R1106" s="18"/>
      <c r="S1106" s="12"/>
      <c r="T1106" s="12"/>
      <c r="U1106" s="10" t="str">
        <f>HYPERLINK("https://pbs.twimg.com/profile_images/618512605964038145/vwuMOQgF.jpg","View")</f>
        <v>View</v>
      </c>
    </row>
    <row r="1107" spans="1:21" ht="30.6">
      <c r="A1107" s="6">
        <v>43424.517685185187</v>
      </c>
      <c r="B1107" s="7" t="str">
        <f>HYPERLINK("https://twitter.com/gaab75","@gaab75")</f>
        <v>@gaab75</v>
      </c>
      <c r="C1107" s="8" t="s">
        <v>4032</v>
      </c>
      <c r="D1107" s="9" t="s">
        <v>4033</v>
      </c>
      <c r="E1107" s="10" t="str">
        <f>HYPERLINK("https://twitter.com/gaab75/status/1064978053397454849","1064978053397454849")</f>
        <v>1064978053397454849</v>
      </c>
      <c r="F1107" s="12"/>
      <c r="G1107" s="12"/>
      <c r="H1107" s="12"/>
      <c r="I1107" s="13">
        <v>1</v>
      </c>
      <c r="J1107" s="13">
        <v>0</v>
      </c>
      <c r="K1107" s="14" t="str">
        <f t="shared" si="204"/>
        <v>Twitter Web Client</v>
      </c>
      <c r="L1107" s="13">
        <v>3587</v>
      </c>
      <c r="M1107" s="13">
        <v>1540</v>
      </c>
      <c r="N1107" s="13">
        <v>96</v>
      </c>
      <c r="O1107" s="15"/>
      <c r="P1107" s="6">
        <v>40128.580196759256</v>
      </c>
      <c r="Q1107" s="17" t="s">
        <v>3858</v>
      </c>
      <c r="R1107" s="16" t="s">
        <v>4036</v>
      </c>
      <c r="S1107" s="11" t="s">
        <v>4037</v>
      </c>
      <c r="T1107" s="12"/>
      <c r="U1107" s="10" t="str">
        <f>HYPERLINK("https://pbs.twimg.com/profile_images/958087622638948354/Nn7-v7sP.jpg","View")</f>
        <v>View</v>
      </c>
    </row>
    <row r="1108" spans="1:21" ht="30.6">
      <c r="A1108" s="6">
        <v>43424.516435185185</v>
      </c>
      <c r="B1108" s="7" t="str">
        <f>HYPERLINK("https://twitter.com/AyuJairenmaiden","@AyuJairenmaiden")</f>
        <v>@AyuJairenmaiden</v>
      </c>
      <c r="C1108" s="8" t="s">
        <v>4038</v>
      </c>
      <c r="D1108" s="9" t="s">
        <v>4039</v>
      </c>
      <c r="E1108" s="10" t="str">
        <f>HYPERLINK("https://twitter.com/AyuJairenmaiden/status/1064977598768386048","1064977598768386048")</f>
        <v>1064977598768386048</v>
      </c>
      <c r="F1108" s="12"/>
      <c r="G1108" s="11" t="s">
        <v>4040</v>
      </c>
      <c r="H1108" s="12"/>
      <c r="I1108" s="13">
        <v>4</v>
      </c>
      <c r="J1108" s="13">
        <v>5</v>
      </c>
      <c r="K1108" s="14" t="str">
        <f>HYPERLINK("http://twitter.com/download/android","Twitter for Android")</f>
        <v>Twitter for Android</v>
      </c>
      <c r="L1108" s="13">
        <v>223</v>
      </c>
      <c r="M1108" s="13">
        <v>217</v>
      </c>
      <c r="N1108" s="13">
        <v>2</v>
      </c>
      <c r="O1108" s="15"/>
      <c r="P1108" s="6">
        <v>40934.605613425927</v>
      </c>
      <c r="Q1108" s="12"/>
      <c r="R1108" s="16" t="s">
        <v>4041</v>
      </c>
      <c r="S1108" s="12"/>
      <c r="T1108" s="12"/>
      <c r="U1108" s="10" t="str">
        <f>HYPERLINK("https://pbs.twimg.com/profile_images/972055058132160512/zV444bKz.jpg","View")</f>
        <v>View</v>
      </c>
    </row>
    <row r="1109" spans="1:21" ht="20.399999999999999">
      <c r="A1109" s="6">
        <v>43424.51461805556</v>
      </c>
      <c r="B1109" s="7" t="str">
        <f>HYPERLINK("https://twitter.com/tribunaBurgos","@tribunaBurgos")</f>
        <v>@tribunaBurgos</v>
      </c>
      <c r="C1109" s="8" t="s">
        <v>4042</v>
      </c>
      <c r="D1109" s="9" t="s">
        <v>4043</v>
      </c>
      <c r="E1109" s="10" t="str">
        <f>HYPERLINK("https://twitter.com/tribunaBurgos/status/1064976938492674048","1064976938492674048")</f>
        <v>1064976938492674048</v>
      </c>
      <c r="F1109" s="11" t="s">
        <v>4044</v>
      </c>
      <c r="G1109" s="11" t="s">
        <v>4045</v>
      </c>
      <c r="H1109" s="12"/>
      <c r="I1109" s="13">
        <v>0</v>
      </c>
      <c r="J1109" s="13">
        <v>0</v>
      </c>
      <c r="K1109" s="14" t="str">
        <f>HYPERLINK("https://buffer.com","Buffer")</f>
        <v>Buffer</v>
      </c>
      <c r="L1109" s="13">
        <v>1885</v>
      </c>
      <c r="M1109" s="13">
        <v>474</v>
      </c>
      <c r="N1109" s="13">
        <v>62</v>
      </c>
      <c r="O1109" s="15"/>
      <c r="P1109" s="6">
        <v>41374.43378472222</v>
      </c>
      <c r="Q1109" s="17" t="s">
        <v>857</v>
      </c>
      <c r="R1109" s="16" t="s">
        <v>4046</v>
      </c>
      <c r="S1109" s="11" t="s">
        <v>4047</v>
      </c>
      <c r="T1109" s="12"/>
      <c r="U1109" s="10" t="str">
        <f>HYPERLINK("https://pbs.twimg.com/profile_images/3524735055/38c5048c4dcbb8b1396baad6a2dd6db4.jpeg","View")</f>
        <v>View</v>
      </c>
    </row>
    <row r="1110" spans="1:21" ht="30.6">
      <c r="A1110" s="6">
        <v>43424.513287037036</v>
      </c>
      <c r="B1110" s="7" t="str">
        <f>HYPERLINK("https://twitter.com/RcZalo","@RcZalo")</f>
        <v>@RcZalo</v>
      </c>
      <c r="C1110" s="8" t="s">
        <v>4048</v>
      </c>
      <c r="D1110" s="9" t="s">
        <v>4049</v>
      </c>
      <c r="E1110" s="10" t="str">
        <f>HYPERLINK("https://twitter.com/RcZalo/status/1064976458366492672","1064976458366492672")</f>
        <v>1064976458366492672</v>
      </c>
      <c r="F1110" s="12"/>
      <c r="G1110" s="11" t="s">
        <v>4050</v>
      </c>
      <c r="H1110" s="12"/>
      <c r="I1110" s="13">
        <v>3</v>
      </c>
      <c r="J1110" s="13">
        <v>1</v>
      </c>
      <c r="K1110" s="14" t="str">
        <f>HYPERLINK("http://twitter.com/download/android","Twitter for Android")</f>
        <v>Twitter for Android</v>
      </c>
      <c r="L1110" s="13">
        <v>6854</v>
      </c>
      <c r="M1110" s="13">
        <v>6229</v>
      </c>
      <c r="N1110" s="13">
        <v>70</v>
      </c>
      <c r="O1110" s="15"/>
      <c r="P1110" s="6">
        <v>41726.610254629632</v>
      </c>
      <c r="Q1110" s="17" t="s">
        <v>4051</v>
      </c>
      <c r="R1110" s="16" t="s">
        <v>4052</v>
      </c>
      <c r="S1110" s="12"/>
      <c r="T1110" s="12"/>
      <c r="U1110" s="10" t="str">
        <f>HYPERLINK("https://pbs.twimg.com/profile_images/1054790348592046080/Zq8OZz57.jpg","View")</f>
        <v>View</v>
      </c>
    </row>
    <row r="1111" spans="1:21" ht="20.399999999999999">
      <c r="A1111" s="6">
        <v>43424.511863425927</v>
      </c>
      <c r="B1111" s="7" t="str">
        <f>HYPERLINK("https://twitter.com/envidiadela","@envidiadela")</f>
        <v>@envidiadela</v>
      </c>
      <c r="C1111" s="8" t="s">
        <v>242</v>
      </c>
      <c r="D1111" s="9" t="s">
        <v>4053</v>
      </c>
      <c r="E1111" s="10" t="str">
        <f>HYPERLINK("https://twitter.com/envidiadela/status/1064975940596498439","1064975940596498439")</f>
        <v>1064975940596498439</v>
      </c>
      <c r="F1111" s="11" t="s">
        <v>4018</v>
      </c>
      <c r="G1111" s="12"/>
      <c r="H1111" s="12"/>
      <c r="I1111" s="13">
        <v>0</v>
      </c>
      <c r="J1111" s="13">
        <v>0</v>
      </c>
      <c r="K1111" s="14" t="str">
        <f>HYPERLINK("http://twitter.com","Twitter Web Client")</f>
        <v>Twitter Web Client</v>
      </c>
      <c r="L1111" s="13">
        <v>945</v>
      </c>
      <c r="M1111" s="13">
        <v>1346</v>
      </c>
      <c r="N1111" s="13">
        <v>16</v>
      </c>
      <c r="O1111" s="15"/>
      <c r="P1111" s="6">
        <v>41075.468692129631</v>
      </c>
      <c r="Q1111" s="12"/>
      <c r="R1111" s="16" t="s">
        <v>243</v>
      </c>
      <c r="S1111" s="12"/>
      <c r="T1111" s="12"/>
      <c r="U1111" s="10" t="str">
        <f>HYPERLINK("https://pbs.twimg.com/profile_images/3742385938/be13c93db7b894638775db25e20c36e3.jpeg","View")</f>
        <v>View</v>
      </c>
    </row>
    <row r="1112" spans="1:21" ht="30.6">
      <c r="A1112" s="6">
        <v>43424.50981481481</v>
      </c>
      <c r="B1112" s="7" t="str">
        <f>HYPERLINK("https://twitter.com/aponfep","@aponfep")</f>
        <v>@aponfep</v>
      </c>
      <c r="C1112" s="8" t="s">
        <v>4054</v>
      </c>
      <c r="D1112" s="9" t="s">
        <v>4055</v>
      </c>
      <c r="E1112" s="10" t="str">
        <f>HYPERLINK("https://twitter.com/aponfep/status/1064975198271737857","1064975198271737857")</f>
        <v>1064975198271737857</v>
      </c>
      <c r="F1112" s="12"/>
      <c r="G1112" s="12"/>
      <c r="H1112" s="12"/>
      <c r="I1112" s="13">
        <v>0</v>
      </c>
      <c r="J1112" s="13">
        <v>0</v>
      </c>
      <c r="K1112" s="14" t="str">
        <f>HYPERLINK("http://twitter.com/download/iphone","Twitter for iPhone")</f>
        <v>Twitter for iPhone</v>
      </c>
      <c r="L1112" s="13">
        <v>97</v>
      </c>
      <c r="M1112" s="13">
        <v>337</v>
      </c>
      <c r="N1112" s="13">
        <v>1</v>
      </c>
      <c r="O1112" s="15"/>
      <c r="P1112" s="6">
        <v>41297.43712962963</v>
      </c>
      <c r="Q1112" s="17" t="s">
        <v>2015</v>
      </c>
      <c r="R1112" s="16" t="s">
        <v>4056</v>
      </c>
      <c r="S1112" s="12"/>
      <c r="T1112" s="12"/>
      <c r="U1112" s="10" t="str">
        <f>HYPERLINK("https://pbs.twimg.com/profile_images/1049005891385810945/XhaeqFRM.jpg","View")</f>
        <v>View</v>
      </c>
    </row>
    <row r="1113" spans="1:21" ht="30.6">
      <c r="A1113" s="6">
        <v>43424.50513888889</v>
      </c>
      <c r="B1113" s="7" t="str">
        <f>HYPERLINK("https://twitter.com/m_pinhe","@m_pinhe")</f>
        <v>@m_pinhe</v>
      </c>
      <c r="C1113" s="8" t="s">
        <v>4057</v>
      </c>
      <c r="D1113" s="9" t="s">
        <v>4058</v>
      </c>
      <c r="E1113" s="10" t="str">
        <f>HYPERLINK("https://twitter.com/m_pinhe/status/1064973506692214784","1064973506692214784")</f>
        <v>1064973506692214784</v>
      </c>
      <c r="F1113" s="11" t="s">
        <v>4059</v>
      </c>
      <c r="G1113" s="12"/>
      <c r="H1113" s="12"/>
      <c r="I1113" s="13">
        <v>3</v>
      </c>
      <c r="J1113" s="13">
        <v>2</v>
      </c>
      <c r="K1113" s="14" t="str">
        <f>HYPERLINK("https://mobile.twitter.com","Twitter Lite")</f>
        <v>Twitter Lite</v>
      </c>
      <c r="L1113" s="13">
        <v>1750</v>
      </c>
      <c r="M1113" s="13">
        <v>786</v>
      </c>
      <c r="N1113" s="13">
        <v>59</v>
      </c>
      <c r="O1113" s="15"/>
      <c r="P1113" s="6">
        <v>40164.540277777778</v>
      </c>
      <c r="Q1113" s="12"/>
      <c r="R1113" s="16" t="s">
        <v>4060</v>
      </c>
      <c r="S1113" s="12"/>
      <c r="T1113" s="12"/>
      <c r="U1113" s="10" t="str">
        <f>HYPERLINK("https://pbs.twimg.com/profile_images/923933295850721280/Eb9E_Iqf.jpg","View")</f>
        <v>View</v>
      </c>
    </row>
    <row r="1114" spans="1:21" ht="40.799999999999997">
      <c r="A1114" s="6">
        <v>43424.504907407405</v>
      </c>
      <c r="B1114" s="7" t="str">
        <f>HYPERLINK("https://twitter.com/MayteDh","@MayteDh")</f>
        <v>@MayteDh</v>
      </c>
      <c r="C1114" s="8" t="s">
        <v>4061</v>
      </c>
      <c r="D1114" s="9" t="s">
        <v>4063</v>
      </c>
      <c r="E1114" s="10" t="str">
        <f>HYPERLINK("https://twitter.com/MayteDh/status/1064973421996576768","1064973421996576768")</f>
        <v>1064973421996576768</v>
      </c>
      <c r="F1114" s="11" t="s">
        <v>748</v>
      </c>
      <c r="G1114" s="12"/>
      <c r="H1114" s="12"/>
      <c r="I1114" s="13">
        <v>0</v>
      </c>
      <c r="J1114" s="13">
        <v>0</v>
      </c>
      <c r="K1114" s="14" t="str">
        <f t="shared" ref="K1114:K1116" si="205">HYPERLINK("http://twitter.com","Twitter Web Client")</f>
        <v>Twitter Web Client</v>
      </c>
      <c r="L1114" s="13">
        <v>1480</v>
      </c>
      <c r="M1114" s="13">
        <v>1449</v>
      </c>
      <c r="N1114" s="13">
        <v>29</v>
      </c>
      <c r="O1114" s="15"/>
      <c r="P1114" s="6">
        <v>41232.312384259261</v>
      </c>
      <c r="Q1114" s="12"/>
      <c r="R1114" s="16" t="s">
        <v>4064</v>
      </c>
      <c r="S1114" s="12"/>
      <c r="T1114" s="12"/>
      <c r="U1114" s="10" t="str">
        <f>HYPERLINK("https://pbs.twimg.com/profile_images/1055527192980021248/N-RBQsRt.jpg","View")</f>
        <v>View</v>
      </c>
    </row>
    <row r="1115" spans="1:21" ht="20.399999999999999">
      <c r="A1115" s="6">
        <v>43424.503564814819</v>
      </c>
      <c r="B1115" s="7" t="str">
        <f>HYPERLINK("https://twitter.com/talkesi","@talkesi")</f>
        <v>@talkesi</v>
      </c>
      <c r="C1115" s="8" t="s">
        <v>4065</v>
      </c>
      <c r="D1115" s="9" t="s">
        <v>4066</v>
      </c>
      <c r="E1115" s="10" t="str">
        <f>HYPERLINK("https://twitter.com/talkesi/status/1064972933725122560","1064972933725122560")</f>
        <v>1064972933725122560</v>
      </c>
      <c r="F1115" s="11" t="s">
        <v>3637</v>
      </c>
      <c r="G1115" s="12"/>
      <c r="H1115" s="12"/>
      <c r="I1115" s="13">
        <v>0</v>
      </c>
      <c r="J1115" s="13">
        <v>0</v>
      </c>
      <c r="K1115" s="14" t="str">
        <f t="shared" si="205"/>
        <v>Twitter Web Client</v>
      </c>
      <c r="L1115" s="13">
        <v>93</v>
      </c>
      <c r="M1115" s="13">
        <v>591</v>
      </c>
      <c r="N1115" s="13">
        <v>3</v>
      </c>
      <c r="O1115" s="15"/>
      <c r="P1115" s="6">
        <v>40883.317187499997</v>
      </c>
      <c r="Q1115" s="12"/>
      <c r="R1115" s="16" t="s">
        <v>4067</v>
      </c>
      <c r="S1115" s="12"/>
      <c r="T1115" s="12"/>
      <c r="U1115" s="10" t="str">
        <f>HYPERLINK("https://pbs.twimg.com/profile_images/1692778440/a.jpg","View")</f>
        <v>View</v>
      </c>
    </row>
    <row r="1116" spans="1:21" ht="40.799999999999997">
      <c r="A1116" s="6">
        <v>43424.502685185187</v>
      </c>
      <c r="B1116" s="7" t="str">
        <f>HYPERLINK("https://twitter.com/SaenzVarona","@SaenzVarona")</f>
        <v>@SaenzVarona</v>
      </c>
      <c r="C1116" s="8" t="s">
        <v>4068</v>
      </c>
      <c r="D1116" s="9" t="s">
        <v>4069</v>
      </c>
      <c r="E1116" s="10" t="str">
        <f>HYPERLINK("https://twitter.com/SaenzVarona/status/1064972614739869700","1064972614739869700")</f>
        <v>1064972614739869700</v>
      </c>
      <c r="F1116" s="11" t="s">
        <v>3975</v>
      </c>
      <c r="G1116" s="12"/>
      <c r="H1116" s="12"/>
      <c r="I1116" s="13">
        <v>1</v>
      </c>
      <c r="J1116" s="13">
        <v>0</v>
      </c>
      <c r="K1116" s="14" t="str">
        <f t="shared" si="205"/>
        <v>Twitter Web Client</v>
      </c>
      <c r="L1116" s="13">
        <v>784</v>
      </c>
      <c r="M1116" s="13">
        <v>316</v>
      </c>
      <c r="N1116" s="13">
        <v>79</v>
      </c>
      <c r="O1116" s="15"/>
      <c r="P1116" s="6">
        <v>40697.336261574077</v>
      </c>
      <c r="Q1116" s="17" t="s">
        <v>4070</v>
      </c>
      <c r="R1116" s="16" t="s">
        <v>4071</v>
      </c>
      <c r="S1116" s="11" t="s">
        <v>4072</v>
      </c>
      <c r="T1116" s="12"/>
      <c r="U1116" s="10" t="str">
        <f>HYPERLINK("https://pbs.twimg.com/profile_images/479663832877383680/zm9ZsCqq.jpeg","View")</f>
        <v>View</v>
      </c>
    </row>
    <row r="1117" spans="1:21" ht="30.6">
      <c r="A1117" s="6">
        <v>43424.501388888893</v>
      </c>
      <c r="B1117" s="7" t="str">
        <f>HYPERLINK("https://twitter.com/diario6com","@diario6com")</f>
        <v>@diario6com</v>
      </c>
      <c r="C1117" s="8" t="s">
        <v>4073</v>
      </c>
      <c r="D1117" s="9" t="s">
        <v>245</v>
      </c>
      <c r="E1117" s="10" t="str">
        <f>HYPERLINK("https://twitter.com/diario6com/status/1064972145577484288","1064972145577484288")</f>
        <v>1064972145577484288</v>
      </c>
      <c r="F1117" s="11" t="s">
        <v>2764</v>
      </c>
      <c r="G1117" s="12"/>
      <c r="H1117" s="12"/>
      <c r="I1117" s="13">
        <v>2736</v>
      </c>
      <c r="J1117" s="13">
        <v>1198</v>
      </c>
      <c r="K1117" s="14" t="str">
        <f>HYPERLINK("https://ads-api.twitter.com","Twitter Ads Composer")</f>
        <v>Twitter Ads Composer</v>
      </c>
      <c r="L1117" s="13">
        <v>16698</v>
      </c>
      <c r="M1117" s="13">
        <v>18268</v>
      </c>
      <c r="N1117" s="13">
        <v>58</v>
      </c>
      <c r="O1117" s="15"/>
      <c r="P1117" s="6">
        <v>42047.502326388887</v>
      </c>
      <c r="Q1117" s="17" t="s">
        <v>2963</v>
      </c>
      <c r="R1117" s="16" t="s">
        <v>4074</v>
      </c>
      <c r="S1117" s="11" t="s">
        <v>4075</v>
      </c>
      <c r="T1117" s="12"/>
      <c r="U1117" s="10" t="str">
        <f>HYPERLINK("https://pbs.twimg.com/profile_images/1029844684678545408/3pqjvqSg.jpg","View")</f>
        <v>View</v>
      </c>
    </row>
    <row r="1118" spans="1:21" ht="40.799999999999997">
      <c r="A1118" s="6">
        <v>43424.495706018519</v>
      </c>
      <c r="B1118" s="7" t="str">
        <f>HYPERLINK("https://twitter.com/JavierArocaA","@JavierArocaA")</f>
        <v>@JavierArocaA</v>
      </c>
      <c r="C1118" s="8" t="s">
        <v>4077</v>
      </c>
      <c r="D1118" s="9" t="s">
        <v>4078</v>
      </c>
      <c r="E1118" s="10" t="str">
        <f>HYPERLINK("https://twitter.com/JavierArocaA/status/1064970086556012544","1064970086556012544")</f>
        <v>1064970086556012544</v>
      </c>
      <c r="F1118" s="12"/>
      <c r="G1118" s="12"/>
      <c r="H1118" s="12"/>
      <c r="I1118" s="13">
        <v>26</v>
      </c>
      <c r="J1118" s="13">
        <v>101</v>
      </c>
      <c r="K1118" s="14" t="str">
        <f>HYPERLINK("http://twitter.com/download/android","Twitter for Android")</f>
        <v>Twitter for Android</v>
      </c>
      <c r="L1118" s="13">
        <v>45590</v>
      </c>
      <c r="M1118" s="13">
        <v>95</v>
      </c>
      <c r="N1118" s="13">
        <v>531</v>
      </c>
      <c r="O1118" s="15"/>
      <c r="P1118" s="6">
        <v>40852.2269212963</v>
      </c>
      <c r="Q1118" s="17" t="s">
        <v>4079</v>
      </c>
      <c r="R1118" s="16" t="s">
        <v>4081</v>
      </c>
      <c r="S1118" s="12"/>
      <c r="T1118" s="12"/>
      <c r="U1118" s="10" t="str">
        <f>HYPERLINK("https://pbs.twimg.com/profile_images/549347461496860674/06AzNeUv.jpeg","View")</f>
        <v>View</v>
      </c>
    </row>
    <row r="1119" spans="1:21" ht="61.2">
      <c r="A1119" s="6">
        <v>43424.495648148149</v>
      </c>
      <c r="B1119" s="7" t="str">
        <f>HYPERLINK("https://twitter.com/josecarloscurto","@josecarloscurto")</f>
        <v>@josecarloscurto</v>
      </c>
      <c r="C1119" s="8" t="s">
        <v>4023</v>
      </c>
      <c r="D1119" s="9" t="s">
        <v>4083</v>
      </c>
      <c r="E1119" s="10" t="str">
        <f>HYPERLINK("https://twitter.com/josecarloscurto/status/1064970064233971713","1064970064233971713")</f>
        <v>1064970064233971713</v>
      </c>
      <c r="F1119" s="11" t="s">
        <v>2578</v>
      </c>
      <c r="G1119" s="11" t="s">
        <v>2579</v>
      </c>
      <c r="H1119" s="12"/>
      <c r="I1119" s="13">
        <v>0</v>
      </c>
      <c r="J1119" s="13">
        <v>0</v>
      </c>
      <c r="K1119" s="14" t="str">
        <f>HYPERLINK("http://www.facebook.com/twitter","Facebook")</f>
        <v>Facebook</v>
      </c>
      <c r="L1119" s="13">
        <v>1325</v>
      </c>
      <c r="M1119" s="13">
        <v>2037</v>
      </c>
      <c r="N1119" s="13">
        <v>6</v>
      </c>
      <c r="O1119" s="15"/>
      <c r="P1119" s="6">
        <v>40852.166342592594</v>
      </c>
      <c r="Q1119" s="17" t="s">
        <v>4024</v>
      </c>
      <c r="R1119" s="16" t="s">
        <v>4025</v>
      </c>
      <c r="S1119" s="11" t="s">
        <v>4026</v>
      </c>
      <c r="T1119" s="12"/>
      <c r="U1119" s="10" t="str">
        <f>HYPERLINK("https://pbs.twimg.com/profile_images/870174534003032064/ybuCRQ0A.jpg","View")</f>
        <v>View</v>
      </c>
    </row>
    <row r="1120" spans="1:21" ht="40.799999999999997">
      <c r="A1120" s="6">
        <v>43424.495081018518</v>
      </c>
      <c r="B1120" s="7" t="str">
        <f>HYPERLINK("https://twitter.com/Carlos_1986_SVQ","@Carlos_1986_SVQ")</f>
        <v>@Carlos_1986_SVQ</v>
      </c>
      <c r="C1120" s="8" t="s">
        <v>4062</v>
      </c>
      <c r="D1120" s="9" t="s">
        <v>4084</v>
      </c>
      <c r="E1120" s="10" t="str">
        <f>HYPERLINK("https://twitter.com/Carlos_1986_SVQ/status/1064969861523226624","1064969861523226624")</f>
        <v>1064969861523226624</v>
      </c>
      <c r="F1120" s="11" t="s">
        <v>3263</v>
      </c>
      <c r="G1120" s="12"/>
      <c r="H1120" s="12"/>
      <c r="I1120" s="13">
        <v>0</v>
      </c>
      <c r="J1120" s="13">
        <v>0</v>
      </c>
      <c r="K1120" s="14" t="str">
        <f>HYPERLINK("http://twitter.com/download/android","Twitter for Android")</f>
        <v>Twitter for Android</v>
      </c>
      <c r="L1120" s="13">
        <v>151</v>
      </c>
      <c r="M1120" s="13">
        <v>361</v>
      </c>
      <c r="N1120" s="13">
        <v>6</v>
      </c>
      <c r="O1120" s="15"/>
      <c r="P1120" s="6">
        <v>40795.348252314812</v>
      </c>
      <c r="Q1120" s="17" t="s">
        <v>338</v>
      </c>
      <c r="R1120" s="16" t="s">
        <v>4085</v>
      </c>
      <c r="S1120" s="12"/>
      <c r="T1120" s="12"/>
      <c r="U1120" s="10" t="str">
        <f>HYPERLINK("https://pbs.twimg.com/profile_images/1041324769352794112/LL9EH4bH.jpg","View")</f>
        <v>View</v>
      </c>
    </row>
    <row r="1121" spans="1:21" ht="51">
      <c r="A1121" s="6">
        <v>43424.492037037038</v>
      </c>
      <c r="B1121" s="7" t="str">
        <f>HYPERLINK("https://twitter.com/JosCarlosJmnz","@JosCarlosJmnz")</f>
        <v>@JosCarlosJmnz</v>
      </c>
      <c r="C1121" s="8" t="s">
        <v>4086</v>
      </c>
      <c r="D1121" s="9" t="s">
        <v>4087</v>
      </c>
      <c r="E1121" s="10" t="str">
        <f>HYPERLINK("https://twitter.com/JosCarlosJmnz/status/1064968755325878272","1064968755325878272")</f>
        <v>1064968755325878272</v>
      </c>
      <c r="F1121" s="12"/>
      <c r="G1121" s="12"/>
      <c r="H1121" s="12"/>
      <c r="I1121" s="13">
        <v>0</v>
      </c>
      <c r="J1121" s="13">
        <v>0</v>
      </c>
      <c r="K1121" s="14" t="str">
        <f>HYPERLINK("http://twitter.com","Twitter Web Client")</f>
        <v>Twitter Web Client</v>
      </c>
      <c r="L1121" s="13">
        <v>143</v>
      </c>
      <c r="M1121" s="13">
        <v>500</v>
      </c>
      <c r="N1121" s="13">
        <v>1</v>
      </c>
      <c r="O1121" s="15"/>
      <c r="P1121" s="6">
        <v>40657.593923611115</v>
      </c>
      <c r="Q1121" s="12"/>
      <c r="R1121" s="16" t="s">
        <v>4088</v>
      </c>
      <c r="S1121" s="12"/>
      <c r="T1121" s="12"/>
      <c r="U1121" s="10" t="str">
        <f>HYPERLINK("https://pbs.twimg.com/profile_images/1932089001/CV0312__262x300_.jpg","View")</f>
        <v>View</v>
      </c>
    </row>
    <row r="1122" spans="1:21" ht="30.6">
      <c r="A1122" s="6">
        <v>43424.491307870368</v>
      </c>
      <c r="B1122" s="7" t="str">
        <f>HYPERLINK("https://twitter.com/ElHuffPost","@ElHuffPost")</f>
        <v>@ElHuffPost</v>
      </c>
      <c r="C1122" s="8" t="s">
        <v>467</v>
      </c>
      <c r="D1122" s="9" t="s">
        <v>3949</v>
      </c>
      <c r="E1122" s="10" t="str">
        <f>HYPERLINK("https://twitter.com/ElHuffPost/status/1064968493588770816","1064968493588770816")</f>
        <v>1064968493588770816</v>
      </c>
      <c r="F1122" s="11" t="s">
        <v>3950</v>
      </c>
      <c r="G1122" s="12"/>
      <c r="H1122" s="12"/>
      <c r="I1122" s="13">
        <v>6</v>
      </c>
      <c r="J1122" s="13">
        <v>3</v>
      </c>
      <c r="K1122" s="14" t="str">
        <f>HYPERLINK("https://about.twitter.com/products/tweetdeck","TweetDeck")</f>
        <v>TweetDeck</v>
      </c>
      <c r="L1122" s="13">
        <v>430323</v>
      </c>
      <c r="M1122" s="13">
        <v>1532</v>
      </c>
      <c r="N1122" s="13">
        <v>8186</v>
      </c>
      <c r="O1122" s="19" t="s">
        <v>74</v>
      </c>
      <c r="P1122" s="6">
        <v>40784.652118055557</v>
      </c>
      <c r="Q1122" s="17" t="s">
        <v>203</v>
      </c>
      <c r="R1122" s="16" t="s">
        <v>471</v>
      </c>
      <c r="S1122" s="11" t="s">
        <v>472</v>
      </c>
      <c r="T1122" s="12"/>
      <c r="U1122" s="10" t="str">
        <f>HYPERLINK("https://pbs.twimg.com/profile_images/921140803422089217/ETOEUOAx.jpg","View")</f>
        <v>View</v>
      </c>
    </row>
    <row r="1123" spans="1:21" ht="30.6">
      <c r="A1123" s="6">
        <v>43424.487708333334</v>
      </c>
      <c r="B1123" s="7" t="str">
        <f>HYPERLINK("https://twitter.com/mnhinojo","@mnhinojo")</f>
        <v>@mnhinojo</v>
      </c>
      <c r="C1123" s="8" t="s">
        <v>4091</v>
      </c>
      <c r="D1123" s="9" t="s">
        <v>4092</v>
      </c>
      <c r="E1123" s="10" t="str">
        <f>HYPERLINK("https://twitter.com/mnhinojo/status/1064967189516742659","1064967189516742659")</f>
        <v>1064967189516742659</v>
      </c>
      <c r="F1123" s="11" t="s">
        <v>4093</v>
      </c>
      <c r="G1123" s="12"/>
      <c r="H1123" s="12"/>
      <c r="I1123" s="13">
        <v>0</v>
      </c>
      <c r="J1123" s="13">
        <v>1</v>
      </c>
      <c r="K1123" s="14" t="str">
        <f>HYPERLINK("http://twitter.com/#!/download/ipad","Twitter for iPad")</f>
        <v>Twitter for iPad</v>
      </c>
      <c r="L1123" s="13">
        <v>172</v>
      </c>
      <c r="M1123" s="13">
        <v>71</v>
      </c>
      <c r="N1123" s="13">
        <v>7</v>
      </c>
      <c r="O1123" s="15"/>
      <c r="P1123" s="6">
        <v>40575.129629629628</v>
      </c>
      <c r="Q1123" s="17" t="s">
        <v>29</v>
      </c>
      <c r="R1123" s="16" t="s">
        <v>4094</v>
      </c>
      <c r="S1123" s="12"/>
      <c r="T1123" s="12"/>
      <c r="U1123" s="10" t="str">
        <f>HYPERLINK("https://pbs.twimg.com/profile_images/956914662339170305/8ZtKHCDl.jpg","View")</f>
        <v>View</v>
      </c>
    </row>
    <row r="1124" spans="1:21" ht="30.6">
      <c r="A1124" s="6">
        <v>43424.486342592594</v>
      </c>
      <c r="B1124" s="7" t="str">
        <f>HYPERLINK("https://twitter.com/KikeMlaga","@KikeMlaga")</f>
        <v>@KikeMlaga</v>
      </c>
      <c r="C1124" s="8" t="s">
        <v>27</v>
      </c>
      <c r="D1124" s="9" t="s">
        <v>3974</v>
      </c>
      <c r="E1124" s="10" t="str">
        <f>HYPERLINK("https://twitter.com/KikeMlaga/status/1064966693171146754","1064966693171146754")</f>
        <v>1064966693171146754</v>
      </c>
      <c r="F1124" s="11" t="s">
        <v>4095</v>
      </c>
      <c r="G1124" s="12"/>
      <c r="H1124" s="12"/>
      <c r="I1124" s="13">
        <v>1</v>
      </c>
      <c r="J1124" s="13">
        <v>1</v>
      </c>
      <c r="K1124" s="14" t="str">
        <f>HYPERLINK("http://www.facebook.com/twitter","Facebook")</f>
        <v>Facebook</v>
      </c>
      <c r="L1124" s="13">
        <v>12749</v>
      </c>
      <c r="M1124" s="13">
        <v>6573</v>
      </c>
      <c r="N1124" s="13">
        <v>505</v>
      </c>
      <c r="O1124" s="15"/>
      <c r="P1124" s="6">
        <v>41741.205972222218</v>
      </c>
      <c r="Q1124" s="12"/>
      <c r="R1124" s="16" t="s">
        <v>30</v>
      </c>
      <c r="S1124" s="12"/>
      <c r="T1124" s="12"/>
      <c r="U1124" s="10" t="str">
        <f>HYPERLINK("https://pbs.twimg.com/profile_images/1011358516316200960/GKpIBcYV.jpg","View")</f>
        <v>View</v>
      </c>
    </row>
    <row r="1125" spans="1:21" ht="30.6">
      <c r="A1125" s="6">
        <v>43424.483622685184</v>
      </c>
      <c r="B1125" s="7" t="str">
        <f>HYPERLINK("https://twitter.com/JosEmilioSnchez","@JosEmilioSnchez")</f>
        <v>@JosEmilioSnchez</v>
      </c>
      <c r="C1125" s="8" t="s">
        <v>4096</v>
      </c>
      <c r="D1125" s="9" t="s">
        <v>4097</v>
      </c>
      <c r="E1125" s="10" t="str">
        <f>HYPERLINK("https://twitter.com/JosEmilioSnchez/status/1064965709841735681","1064965709841735681")</f>
        <v>1064965709841735681</v>
      </c>
      <c r="F1125" s="12"/>
      <c r="G1125" s="12"/>
      <c r="H1125" s="12"/>
      <c r="I1125" s="13">
        <v>0</v>
      </c>
      <c r="J1125" s="13">
        <v>0</v>
      </c>
      <c r="K1125" s="14" t="str">
        <f>HYPERLINK("http://twitter.com/#!/download/ipad","Twitter for iPad")</f>
        <v>Twitter for iPad</v>
      </c>
      <c r="L1125" s="13">
        <v>64</v>
      </c>
      <c r="M1125" s="13">
        <v>299</v>
      </c>
      <c r="N1125" s="13">
        <v>0</v>
      </c>
      <c r="O1125" s="15"/>
      <c r="P1125" s="6">
        <v>40915.203993055555</v>
      </c>
      <c r="Q1125" s="17" t="s">
        <v>4098</v>
      </c>
      <c r="R1125" s="18"/>
      <c r="S1125" s="12"/>
      <c r="T1125" s="12"/>
      <c r="U1125" s="10" t="str">
        <f>HYPERLINK("https://pbs.twimg.com/profile_images/997454203978113026/1mEc3IUq.jpg","View")</f>
        <v>View</v>
      </c>
    </row>
    <row r="1126" spans="1:21" ht="30.6">
      <c r="A1126" s="6">
        <v>43424.482615740737</v>
      </c>
      <c r="B1126" s="7" t="str">
        <f>HYPERLINK("https://twitter.com/SENECA_HH","@SENECA_HH")</f>
        <v>@SENECA_HH</v>
      </c>
      <c r="C1126" s="8" t="s">
        <v>4099</v>
      </c>
      <c r="D1126" s="9" t="s">
        <v>4100</v>
      </c>
      <c r="E1126" s="10" t="str">
        <f>HYPERLINK("https://twitter.com/SENECA_HH/status/1064965341154066433","1064965341154066433")</f>
        <v>1064965341154066433</v>
      </c>
      <c r="F1126" s="11" t="s">
        <v>4029</v>
      </c>
      <c r="G1126" s="12"/>
      <c r="H1126" s="12"/>
      <c r="I1126" s="13">
        <v>0</v>
      </c>
      <c r="J1126" s="13">
        <v>0</v>
      </c>
      <c r="K1126" s="14" t="str">
        <f>HYPERLINK("http://twitter.com","Twitter Web Client")</f>
        <v>Twitter Web Client</v>
      </c>
      <c r="L1126" s="13">
        <v>1348</v>
      </c>
      <c r="M1126" s="13">
        <v>972</v>
      </c>
      <c r="N1126" s="13">
        <v>25</v>
      </c>
      <c r="O1126" s="15"/>
      <c r="P1126" s="6">
        <v>40944.529756944445</v>
      </c>
      <c r="Q1126" s="17" t="s">
        <v>29</v>
      </c>
      <c r="R1126" s="16" t="s">
        <v>4101</v>
      </c>
      <c r="S1126" s="12"/>
      <c r="T1126" s="12"/>
      <c r="U1126" s="10" t="str">
        <f>HYPERLINK("https://pbs.twimg.com/profile_images/1006505117884076033/HyYIq-WV.jpg","View")</f>
        <v>View</v>
      </c>
    </row>
    <row r="1127" spans="1:21" ht="61.2">
      <c r="A1127" s="6">
        <v>43424.482569444444</v>
      </c>
      <c r="B1127" s="7" t="str">
        <f>HYPERLINK("https://twitter.com/KikeMlaga","@KikeMlaga")</f>
        <v>@KikeMlaga</v>
      </c>
      <c r="C1127" s="8" t="s">
        <v>27</v>
      </c>
      <c r="D1127" s="9" t="s">
        <v>4083</v>
      </c>
      <c r="E1127" s="10" t="str">
        <f>HYPERLINK("https://twitter.com/KikeMlaga/status/1064965324431392769","1064965324431392769")</f>
        <v>1064965324431392769</v>
      </c>
      <c r="F1127" s="11" t="s">
        <v>4102</v>
      </c>
      <c r="G1127" s="11" t="s">
        <v>2579</v>
      </c>
      <c r="H1127" s="12"/>
      <c r="I1127" s="13">
        <v>3</v>
      </c>
      <c r="J1127" s="13">
        <v>3</v>
      </c>
      <c r="K1127" s="14" t="str">
        <f>HYPERLINK("http://www.facebook.com/twitter","Facebook")</f>
        <v>Facebook</v>
      </c>
      <c r="L1127" s="13">
        <v>12749</v>
      </c>
      <c r="M1127" s="13">
        <v>6573</v>
      </c>
      <c r="N1127" s="13">
        <v>505</v>
      </c>
      <c r="O1127" s="15"/>
      <c r="P1127" s="6">
        <v>41741.205972222218</v>
      </c>
      <c r="Q1127" s="12"/>
      <c r="R1127" s="16" t="s">
        <v>30</v>
      </c>
      <c r="S1127" s="12"/>
      <c r="T1127" s="12"/>
      <c r="U1127" s="10" t="str">
        <f>HYPERLINK("https://pbs.twimg.com/profile_images/1011358516316200960/GKpIBcYV.jpg","View")</f>
        <v>View</v>
      </c>
    </row>
    <row r="1128" spans="1:21" ht="51">
      <c r="A1128" s="6">
        <v>43424.479976851857</v>
      </c>
      <c r="B1128" s="7" t="str">
        <f>HYPERLINK("https://twitter.com/libertan_","@libertan_")</f>
        <v>@libertan_</v>
      </c>
      <c r="C1128" s="8" t="s">
        <v>4103</v>
      </c>
      <c r="D1128" s="9" t="s">
        <v>4104</v>
      </c>
      <c r="E1128" s="10" t="str">
        <f>HYPERLINK("https://twitter.com/libertan_/status/1064964384533794816","1064964384533794816")</f>
        <v>1064964384533794816</v>
      </c>
      <c r="F1128" s="12"/>
      <c r="G1128" s="12"/>
      <c r="H1128" s="12"/>
      <c r="I1128" s="13">
        <v>0</v>
      </c>
      <c r="J1128" s="13">
        <v>2</v>
      </c>
      <c r="K1128" s="14" t="str">
        <f>HYPERLINK("http://twitter.com/download/iphone","Twitter for iPhone")</f>
        <v>Twitter for iPhone</v>
      </c>
      <c r="L1128" s="13">
        <v>419</v>
      </c>
      <c r="M1128" s="13">
        <v>236</v>
      </c>
      <c r="N1128" s="13">
        <v>2</v>
      </c>
      <c r="O1128" s="15"/>
      <c r="P1128" s="6">
        <v>42144.618506944447</v>
      </c>
      <c r="Q1128" s="12"/>
      <c r="R1128" s="16" t="s">
        <v>4105</v>
      </c>
      <c r="S1128" s="12"/>
      <c r="T1128" s="12"/>
      <c r="U1128" s="10" t="str">
        <f>HYPERLINK("https://pbs.twimg.com/profile_images/882028116364980224/8v2B8St9.jpg","View")</f>
        <v>View</v>
      </c>
    </row>
    <row r="1129" spans="1:21" ht="40.799999999999997">
      <c r="A1129" s="6">
        <v>43424.473969907413</v>
      </c>
      <c r="B1129" s="7" t="str">
        <f>HYPERLINK("https://twitter.com/PPHuetorVega","@PPHuetorVega")</f>
        <v>@PPHuetorVega</v>
      </c>
      <c r="C1129" s="8" t="s">
        <v>4106</v>
      </c>
      <c r="D1129" s="9" t="s">
        <v>4107</v>
      </c>
      <c r="E1129" s="10" t="str">
        <f>HYPERLINK("https://twitter.com/PPHuetorVega/status/1064962207966998529","1064962207966998529")</f>
        <v>1064962207966998529</v>
      </c>
      <c r="F1129" s="11" t="s">
        <v>4108</v>
      </c>
      <c r="G1129" s="12"/>
      <c r="H1129" s="12"/>
      <c r="I1129" s="13">
        <v>0</v>
      </c>
      <c r="J1129" s="13">
        <v>0</v>
      </c>
      <c r="K1129" s="14" t="str">
        <f>HYPERLINK("http://www.facebook.com/twitter","Facebook")</f>
        <v>Facebook</v>
      </c>
      <c r="L1129" s="13">
        <v>291</v>
      </c>
      <c r="M1129" s="13">
        <v>459</v>
      </c>
      <c r="N1129" s="13">
        <v>3</v>
      </c>
      <c r="O1129" s="15"/>
      <c r="P1129" s="6">
        <v>41339.449467592596</v>
      </c>
      <c r="Q1129" s="12"/>
      <c r="R1129" s="18"/>
      <c r="S1129" s="12"/>
      <c r="T1129" s="12"/>
      <c r="U1129" s="10" t="str">
        <f>HYPERLINK("https://pbs.twimg.com/profile_images/904421655413477376/13BVDD4G.jpg","View")</f>
        <v>View</v>
      </c>
    </row>
    <row r="1130" spans="1:21" ht="40.799999999999997">
      <c r="A1130" s="6">
        <v>43424.473923611113</v>
      </c>
      <c r="B1130" s="7" t="str">
        <f>HYPERLINK("https://twitter.com/RCorindon","@RCorindon")</f>
        <v>@RCorindon</v>
      </c>
      <c r="C1130" s="8" t="s">
        <v>3440</v>
      </c>
      <c r="D1130" s="9" t="s">
        <v>4109</v>
      </c>
      <c r="E1130" s="10" t="str">
        <f>HYPERLINK("https://twitter.com/RCorindon/status/1064962192368390145","1064962192368390145")</f>
        <v>1064962192368390145</v>
      </c>
      <c r="F1130" s="12"/>
      <c r="G1130" s="12"/>
      <c r="H1130" s="12"/>
      <c r="I1130" s="13">
        <v>0</v>
      </c>
      <c r="J1130" s="13">
        <v>1</v>
      </c>
      <c r="K1130" s="14" t="str">
        <f t="shared" ref="K1130:K1131" si="206">HYPERLINK("http://twitter.com","Twitter Web Client")</f>
        <v>Twitter Web Client</v>
      </c>
      <c r="L1130" s="13">
        <v>107</v>
      </c>
      <c r="M1130" s="13">
        <v>105</v>
      </c>
      <c r="N1130" s="13">
        <v>0</v>
      </c>
      <c r="O1130" s="15"/>
      <c r="P1130" s="6">
        <v>42099.583622685182</v>
      </c>
      <c r="Q1130" s="12"/>
      <c r="R1130" s="18"/>
      <c r="S1130" s="12"/>
      <c r="T1130" s="12"/>
      <c r="U1130" s="10" t="str">
        <f>HYPERLINK("https://pbs.twimg.com/profile_images/967395399161057280/NH5vulxk.jpg","View")</f>
        <v>View</v>
      </c>
    </row>
    <row r="1131" spans="1:21" ht="30.6">
      <c r="A1131" s="6">
        <v>43424.470671296294</v>
      </c>
      <c r="B1131" s="7" t="str">
        <f>HYPERLINK("https://twitter.com/joseluiscayon3","@joseluiscayon3")</f>
        <v>@joseluiscayon3</v>
      </c>
      <c r="C1131" s="8" t="s">
        <v>4110</v>
      </c>
      <c r="D1131" s="9" t="s">
        <v>4111</v>
      </c>
      <c r="E1131" s="10" t="str">
        <f>HYPERLINK("https://twitter.com/joseluiscayon3/status/1064961012422639617","1064961012422639617")</f>
        <v>1064961012422639617</v>
      </c>
      <c r="F1131" s="12"/>
      <c r="G1131" s="12"/>
      <c r="H1131" s="12"/>
      <c r="I1131" s="13">
        <v>1</v>
      </c>
      <c r="J1131" s="13">
        <v>0</v>
      </c>
      <c r="K1131" s="14" t="str">
        <f t="shared" si="206"/>
        <v>Twitter Web Client</v>
      </c>
      <c r="L1131" s="13">
        <v>26</v>
      </c>
      <c r="M1131" s="13">
        <v>42</v>
      </c>
      <c r="N1131" s="13">
        <v>0</v>
      </c>
      <c r="O1131" s="15"/>
      <c r="P1131" s="6">
        <v>43029.360069444447</v>
      </c>
      <c r="Q1131" s="12"/>
      <c r="R1131" s="18"/>
      <c r="S1131" s="12"/>
      <c r="T1131" s="12"/>
      <c r="U1131" s="10" t="str">
        <f>HYPERLINK("https://pbs.twimg.com/profile_images/1044917390834892802/zwcnRtvU.jpg","View")</f>
        <v>View</v>
      </c>
    </row>
    <row r="1132" spans="1:21" ht="40.799999999999997">
      <c r="A1132" s="6">
        <v>43424.469236111108</v>
      </c>
      <c r="B1132" s="7" t="str">
        <f>HYPERLINK("https://twitter.com/jm_uriarte","@jm_uriarte")</f>
        <v>@jm_uriarte</v>
      </c>
      <c r="C1132" s="8" t="s">
        <v>4112</v>
      </c>
      <c r="D1132" s="9" t="s">
        <v>4113</v>
      </c>
      <c r="E1132" s="10" t="str">
        <f>HYPERLINK("https://twitter.com/jm_uriarte/status/1064960495277367296","1064960495277367296")</f>
        <v>1064960495277367296</v>
      </c>
      <c r="F1132" s="12"/>
      <c r="G1132" s="12"/>
      <c r="H1132" s="12"/>
      <c r="I1132" s="13">
        <v>0</v>
      </c>
      <c r="J1132" s="13">
        <v>0</v>
      </c>
      <c r="K1132" s="14" t="str">
        <f>HYPERLINK("http://twitter.com/download/iphone","Twitter for iPhone")</f>
        <v>Twitter for iPhone</v>
      </c>
      <c r="L1132" s="13">
        <v>786</v>
      </c>
      <c r="M1132" s="13">
        <v>329</v>
      </c>
      <c r="N1132" s="13">
        <v>27</v>
      </c>
      <c r="O1132" s="15"/>
      <c r="P1132" s="6">
        <v>40775.556597222225</v>
      </c>
      <c r="Q1132" s="17" t="s">
        <v>4114</v>
      </c>
      <c r="R1132" s="16" t="s">
        <v>4115</v>
      </c>
      <c r="S1132" s="12"/>
      <c r="T1132" s="12"/>
      <c r="U1132" s="10" t="str">
        <f>HYPERLINK("https://pbs.twimg.com/profile_images/941709913222508544/m20e58G6.jpg","View")</f>
        <v>View</v>
      </c>
    </row>
    <row r="1133" spans="1:21" ht="13.2">
      <c r="A1133" s="6">
        <v>43424.466423611113</v>
      </c>
      <c r="B1133" s="7" t="str">
        <f>HYPERLINK("https://twitter.com/bowsskaebooks","@bowsskaebooks")</f>
        <v>@bowsskaebooks</v>
      </c>
      <c r="C1133" s="8" t="s">
        <v>4116</v>
      </c>
      <c r="D1133" s="9" t="s">
        <v>4117</v>
      </c>
      <c r="E1133" s="10" t="str">
        <f>HYPERLINK("https://twitter.com/bowsskaebooks/status/1064959474694307841","1064959474694307841")</f>
        <v>1064959474694307841</v>
      </c>
      <c r="F1133" s="12"/>
      <c r="G1133" s="12"/>
      <c r="H1133" s="12"/>
      <c r="I1133" s="13">
        <v>0</v>
      </c>
      <c r="J1133" s="13">
        <v>0</v>
      </c>
      <c r="K1133" s="14" t="str">
        <f>HYPERLINK("http://www.foo.com/","bowsskaebooks")</f>
        <v>bowsskaebooks</v>
      </c>
      <c r="L1133" s="13">
        <v>7</v>
      </c>
      <c r="M1133" s="13">
        <v>1</v>
      </c>
      <c r="N1133" s="13">
        <v>0</v>
      </c>
      <c r="O1133" s="15"/>
      <c r="P1133" s="6">
        <v>42965.023344907408</v>
      </c>
      <c r="Q1133" s="12"/>
      <c r="R1133" s="16" t="s">
        <v>4118</v>
      </c>
      <c r="S1133" s="12"/>
      <c r="T1133" s="12"/>
      <c r="U1133" s="10" t="str">
        <f>HYPERLINK("https://pbs.twimg.com/profile_images/898449008099827712/vTR_8kbH.jpg","View")</f>
        <v>View</v>
      </c>
    </row>
    <row r="1134" spans="1:21" ht="20.399999999999999">
      <c r="A1134" s="6">
        <v>43424.460983796293</v>
      </c>
      <c r="B1134" s="7" t="str">
        <f>HYPERLINK("https://twitter.com/jon_mcenroe","@jon_mcenroe")</f>
        <v>@jon_mcenroe</v>
      </c>
      <c r="C1134" s="8" t="s">
        <v>4119</v>
      </c>
      <c r="D1134" s="9" t="s">
        <v>4120</v>
      </c>
      <c r="E1134" s="10" t="str">
        <f>HYPERLINK("https://twitter.com/jon_mcenroe/status/1064957504835194880","1064957504835194880")</f>
        <v>1064957504835194880</v>
      </c>
      <c r="F1134" s="12"/>
      <c r="G1134" s="12"/>
      <c r="H1134" s="12"/>
      <c r="I1134" s="13">
        <v>4</v>
      </c>
      <c r="J1134" s="13">
        <v>37</v>
      </c>
      <c r="K1134" s="14" t="str">
        <f>HYPERLINK("http://twitter.com","Twitter Web Client")</f>
        <v>Twitter Web Client</v>
      </c>
      <c r="L1134" s="13">
        <v>34939</v>
      </c>
      <c r="M1134" s="13">
        <v>589</v>
      </c>
      <c r="N1134" s="13">
        <v>431</v>
      </c>
      <c r="O1134" s="15"/>
      <c r="P1134" s="6">
        <v>39380.272685185184</v>
      </c>
      <c r="Q1134" s="17" t="s">
        <v>4121</v>
      </c>
      <c r="R1134" s="16" t="s">
        <v>4122</v>
      </c>
      <c r="S1134" s="11" t="s">
        <v>4123</v>
      </c>
      <c r="T1134" s="12"/>
      <c r="U1134" s="10" t="str">
        <f>HYPERLINK("https://pbs.twimg.com/profile_images/880816628308553729/9LV4LJJ9.jpg","View")</f>
        <v>View</v>
      </c>
    </row>
    <row r="1135" spans="1:21" ht="30.6">
      <c r="A1135" s="6">
        <v>43424.459027777775</v>
      </c>
      <c r="B1135" s="7" t="str">
        <f>HYPERLINK("https://twitter.com/Rosenroth010","@Rosenroth010")</f>
        <v>@Rosenroth010</v>
      </c>
      <c r="C1135" s="8" t="s">
        <v>4124</v>
      </c>
      <c r="D1135" s="9" t="s">
        <v>4125</v>
      </c>
      <c r="E1135" s="10" t="str">
        <f>HYPERLINK("https://twitter.com/Rosenroth010/status/1064956793791684612","1064956793791684612")</f>
        <v>1064956793791684612</v>
      </c>
      <c r="F1135" s="11" t="s">
        <v>3633</v>
      </c>
      <c r="G1135" s="12"/>
      <c r="H1135" s="12"/>
      <c r="I1135" s="13">
        <v>0</v>
      </c>
      <c r="J1135" s="13">
        <v>0</v>
      </c>
      <c r="K1135" s="14" t="str">
        <f>HYPERLINK("http://twitter.com/download/android","Twitter for Android")</f>
        <v>Twitter for Android</v>
      </c>
      <c r="L1135" s="13">
        <v>1960</v>
      </c>
      <c r="M1135" s="13">
        <v>1964</v>
      </c>
      <c r="N1135" s="13">
        <v>9</v>
      </c>
      <c r="O1135" s="15"/>
      <c r="P1135" s="6">
        <v>40637.846724537041</v>
      </c>
      <c r="Q1135" s="17" t="s">
        <v>4126</v>
      </c>
      <c r="R1135" s="16" t="s">
        <v>4127</v>
      </c>
      <c r="S1135" s="12"/>
      <c r="T1135" s="12"/>
      <c r="U1135" s="10" t="str">
        <f>HYPERLINK("https://pbs.twimg.com/profile_images/975698203634032642/WsUfQd07.jpg","View")</f>
        <v>View</v>
      </c>
    </row>
    <row r="1136" spans="1:21" ht="71.400000000000006">
      <c r="A1136" s="6">
        <v>43424.457835648151</v>
      </c>
      <c r="B1136" s="7" t="str">
        <f>HYPERLINK("https://twitter.com/marcverlin","@marcverlin")</f>
        <v>@marcverlin</v>
      </c>
      <c r="C1136" s="8" t="s">
        <v>4128</v>
      </c>
      <c r="D1136" s="9" t="s">
        <v>4129</v>
      </c>
      <c r="E1136" s="10" t="str">
        <f>HYPERLINK("https://twitter.com/marcverlin/status/1064956362805907456","1064956362805907456")</f>
        <v>1064956362805907456</v>
      </c>
      <c r="F1136" s="11" t="s">
        <v>4130</v>
      </c>
      <c r="G1136" s="12"/>
      <c r="H1136" s="12"/>
      <c r="I1136" s="13">
        <v>0</v>
      </c>
      <c r="J1136" s="13">
        <v>0</v>
      </c>
      <c r="K1136" s="14" t="str">
        <f>HYPERLINK("http://twitter.com/download/iphone","Twitter for iPhone")</f>
        <v>Twitter for iPhone</v>
      </c>
      <c r="L1136" s="13">
        <v>325</v>
      </c>
      <c r="M1136" s="13">
        <v>1868</v>
      </c>
      <c r="N1136" s="13">
        <v>7</v>
      </c>
      <c r="O1136" s="15"/>
      <c r="P1136" s="6">
        <v>40637.233622685184</v>
      </c>
      <c r="Q1136" s="17" t="s">
        <v>338</v>
      </c>
      <c r="R1136" s="16" t="s">
        <v>4131</v>
      </c>
      <c r="S1136" s="12"/>
      <c r="T1136" s="12"/>
      <c r="U1136" s="10" t="str">
        <f>HYPERLINK("https://pbs.twimg.com/profile_images/1057155632749576192/Jg89bEGV.jpg","View")</f>
        <v>View</v>
      </c>
    </row>
    <row r="1137" spans="1:21" ht="20.399999999999999">
      <c r="A1137" s="6">
        <v>43424.456273148149</v>
      </c>
      <c r="B1137" s="7" t="str">
        <f>HYPERLINK("https://twitter.com/KALERGIPLAN3","@KALERGIPLAN3")</f>
        <v>@KALERGIPLAN3</v>
      </c>
      <c r="C1137" s="8" t="s">
        <v>4132</v>
      </c>
      <c r="D1137" s="9" t="s">
        <v>4133</v>
      </c>
      <c r="E1137" s="10" t="str">
        <f>HYPERLINK("https://twitter.com/KALERGIPLAN3/status/1064955797589901313","1064955797589901313")</f>
        <v>1064955797589901313</v>
      </c>
      <c r="F1137" s="11" t="s">
        <v>4134</v>
      </c>
      <c r="G1137" s="12"/>
      <c r="H1137" s="12"/>
      <c r="I1137" s="13">
        <v>0</v>
      </c>
      <c r="J1137" s="13">
        <v>0</v>
      </c>
      <c r="K1137" s="14" t="str">
        <f>HYPERLINK("http://twitter.com","Twitter Web Client")</f>
        <v>Twitter Web Client</v>
      </c>
      <c r="L1137" s="13">
        <v>740</v>
      </c>
      <c r="M1137" s="13">
        <v>1175</v>
      </c>
      <c r="N1137" s="13">
        <v>4</v>
      </c>
      <c r="O1137" s="15"/>
      <c r="P1137" s="6">
        <v>43126.17905092593</v>
      </c>
      <c r="Q1137" s="17" t="s">
        <v>4135</v>
      </c>
      <c r="R1137" s="16" t="s">
        <v>4136</v>
      </c>
      <c r="S1137" s="12"/>
      <c r="T1137" s="12"/>
      <c r="U1137" s="10" t="str">
        <f>HYPERLINK("https://pbs.twimg.com/profile_images/957285491707121664/UefjbD3b.jpg","View")</f>
        <v>View</v>
      </c>
    </row>
    <row r="1138" spans="1:21" ht="20.399999999999999">
      <c r="A1138" s="6">
        <v>43424.451817129629</v>
      </c>
      <c r="B1138" s="7" t="str">
        <f>HYPERLINK("https://twitter.com/Skoll99","@Skoll99")</f>
        <v>@Skoll99</v>
      </c>
      <c r="C1138" s="8" t="s">
        <v>4137</v>
      </c>
      <c r="D1138" s="9" t="s">
        <v>4138</v>
      </c>
      <c r="E1138" s="10" t="str">
        <f>HYPERLINK("https://twitter.com/Skoll99/status/1064954180614463489","1064954180614463489")</f>
        <v>1064954180614463489</v>
      </c>
      <c r="F1138" s="12"/>
      <c r="G1138" s="12"/>
      <c r="H1138" s="12"/>
      <c r="I1138" s="13">
        <v>0</v>
      </c>
      <c r="J1138" s="13">
        <v>16</v>
      </c>
      <c r="K1138" s="14" t="str">
        <f t="shared" ref="K1138:K1139" si="207">HYPERLINK("http://twitter.com/download/android","Twitter for Android")</f>
        <v>Twitter for Android</v>
      </c>
      <c r="L1138" s="13">
        <v>80</v>
      </c>
      <c r="M1138" s="13">
        <v>174</v>
      </c>
      <c r="N1138" s="13">
        <v>0</v>
      </c>
      <c r="O1138" s="15"/>
      <c r="P1138" s="6">
        <v>41762.535682870366</v>
      </c>
      <c r="Q1138" s="17" t="s">
        <v>4139</v>
      </c>
      <c r="R1138" s="16" t="s">
        <v>4140</v>
      </c>
      <c r="S1138" s="12"/>
      <c r="T1138" s="12"/>
      <c r="U1138" s="10" t="str">
        <f>HYPERLINK("https://pbs.twimg.com/profile_images/831824096375795713/0dOaN4x4.jpg","View")</f>
        <v>View</v>
      </c>
    </row>
    <row r="1139" spans="1:21" ht="30.6">
      <c r="A1139" s="6">
        <v>43424.449212962965</v>
      </c>
      <c r="B1139" s="7" t="str">
        <f>HYPERLINK("https://twitter.com/Misto_Lobo","@Misto_Lobo")</f>
        <v>@Misto_Lobo</v>
      </c>
      <c r="C1139" s="8" t="s">
        <v>4141</v>
      </c>
      <c r="D1139" s="9" t="s">
        <v>4142</v>
      </c>
      <c r="E1139" s="10" t="str">
        <f>HYPERLINK("https://twitter.com/Misto_Lobo/status/1064953236627562497","1064953236627562497")</f>
        <v>1064953236627562497</v>
      </c>
      <c r="F1139" s="12"/>
      <c r="G1139" s="12"/>
      <c r="H1139" s="12"/>
      <c r="I1139" s="13">
        <v>0</v>
      </c>
      <c r="J1139" s="13">
        <v>0</v>
      </c>
      <c r="K1139" s="14" t="str">
        <f t="shared" si="207"/>
        <v>Twitter for Android</v>
      </c>
      <c r="L1139" s="13">
        <v>166</v>
      </c>
      <c r="M1139" s="13">
        <v>670</v>
      </c>
      <c r="N1139" s="13">
        <v>0</v>
      </c>
      <c r="O1139" s="15"/>
      <c r="P1139" s="6">
        <v>43027.264548611114</v>
      </c>
      <c r="Q1139" s="12"/>
      <c r="R1139" s="16" t="s">
        <v>4143</v>
      </c>
      <c r="S1139" s="12"/>
      <c r="T1139" s="12"/>
      <c r="U1139" s="10" t="str">
        <f>HYPERLINK("https://pbs.twimg.com/profile_images/965895856623931392/dOLIJgm0.jpg","View")</f>
        <v>View</v>
      </c>
    </row>
    <row r="1140" spans="1:21" ht="51">
      <c r="A1140" s="6">
        <v>43424.448773148149</v>
      </c>
      <c r="B1140" s="7" t="str">
        <f>HYPERLINK("https://twitter.com/radiocartaya","@radiocartaya")</f>
        <v>@radiocartaya</v>
      </c>
      <c r="C1140" s="8" t="s">
        <v>4144</v>
      </c>
      <c r="D1140" s="9" t="s">
        <v>4145</v>
      </c>
      <c r="E1140" s="10" t="str">
        <f>HYPERLINK("https://twitter.com/radiocartaya/status/1064953080729559041","1064953080729559041")</f>
        <v>1064953080729559041</v>
      </c>
      <c r="F1140" s="11" t="s">
        <v>4146</v>
      </c>
      <c r="G1140" s="12"/>
      <c r="H1140" s="12"/>
      <c r="I1140" s="13">
        <v>0</v>
      </c>
      <c r="J1140" s="13">
        <v>0</v>
      </c>
      <c r="K1140" s="14" t="str">
        <f t="shared" ref="K1140:K1142" si="208">HYPERLINK("http://twitter.com","Twitter Web Client")</f>
        <v>Twitter Web Client</v>
      </c>
      <c r="L1140" s="13">
        <v>368</v>
      </c>
      <c r="M1140" s="13">
        <v>130</v>
      </c>
      <c r="N1140" s="13">
        <v>0</v>
      </c>
      <c r="O1140" s="15"/>
      <c r="P1140" s="6">
        <v>41574.141863425924</v>
      </c>
      <c r="Q1140" s="17" t="s">
        <v>4147</v>
      </c>
      <c r="R1140" s="16" t="s">
        <v>4148</v>
      </c>
      <c r="S1140" s="11" t="s">
        <v>4149</v>
      </c>
      <c r="T1140" s="12"/>
      <c r="U1140" s="10" t="str">
        <f>HYPERLINK("https://pbs.twimg.com/profile_images/572081577337688064/B-b3i3P-.jpeg","View")</f>
        <v>View</v>
      </c>
    </row>
    <row r="1141" spans="1:21" ht="30.6">
      <c r="A1141" s="6">
        <v>43424.448483796295</v>
      </c>
      <c r="B1141" s="7" t="str">
        <f>HYPERLINK("https://twitter.com/acostela","@acostela")</f>
        <v>@acostela</v>
      </c>
      <c r="C1141" s="8" t="s">
        <v>2293</v>
      </c>
      <c r="D1141" s="9" t="s">
        <v>4150</v>
      </c>
      <c r="E1141" s="10" t="str">
        <f>HYPERLINK("https://twitter.com/acostela/status/1064952972394856449","1064952972394856449")</f>
        <v>1064952972394856449</v>
      </c>
      <c r="F1141" s="12"/>
      <c r="G1141" s="12"/>
      <c r="H1141" s="12"/>
      <c r="I1141" s="13">
        <v>0</v>
      </c>
      <c r="J1141" s="13">
        <v>0</v>
      </c>
      <c r="K1141" s="14" t="str">
        <f t="shared" si="208"/>
        <v>Twitter Web Client</v>
      </c>
      <c r="L1141" s="13">
        <v>582</v>
      </c>
      <c r="M1141" s="13">
        <v>1309</v>
      </c>
      <c r="N1141" s="13">
        <v>11</v>
      </c>
      <c r="O1141" s="15"/>
      <c r="P1141" s="6">
        <v>40442.558854166666</v>
      </c>
      <c r="Q1141" s="17" t="s">
        <v>2296</v>
      </c>
      <c r="R1141" s="16" t="s">
        <v>2297</v>
      </c>
      <c r="S1141" s="12"/>
      <c r="T1141" s="12"/>
      <c r="U1141" s="10" t="str">
        <f>HYPERLINK("https://pbs.twimg.com/profile_images/1058116702314074115/dNWXD2Eq.jpg","View")</f>
        <v>View</v>
      </c>
    </row>
    <row r="1142" spans="1:21" ht="20.399999999999999">
      <c r="A1142" s="6">
        <v>43424.441469907411</v>
      </c>
      <c r="B1142" s="7" t="str">
        <f>HYPERLINK("https://twitter.com/joseantoniope7","@joseantoniope7")</f>
        <v>@joseantoniope7</v>
      </c>
      <c r="C1142" s="8" t="s">
        <v>4151</v>
      </c>
      <c r="D1142" s="9" t="s">
        <v>4152</v>
      </c>
      <c r="E1142" s="10" t="str">
        <f>HYPERLINK("https://twitter.com/joseantoniope7/status/1064950431913336832","1064950431913336832")</f>
        <v>1064950431913336832</v>
      </c>
      <c r="F1142" s="11" t="s">
        <v>4153</v>
      </c>
      <c r="G1142" s="12"/>
      <c r="H1142" s="12"/>
      <c r="I1142" s="13">
        <v>1</v>
      </c>
      <c r="J1142" s="13">
        <v>1</v>
      </c>
      <c r="K1142" s="14" t="str">
        <f t="shared" si="208"/>
        <v>Twitter Web Client</v>
      </c>
      <c r="L1142" s="13">
        <v>712</v>
      </c>
      <c r="M1142" s="13">
        <v>1983</v>
      </c>
      <c r="N1142" s="13">
        <v>0</v>
      </c>
      <c r="O1142" s="15"/>
      <c r="P1142" s="6">
        <v>43139.443483796298</v>
      </c>
      <c r="Q1142" s="17" t="s">
        <v>4154</v>
      </c>
      <c r="R1142" s="18"/>
      <c r="S1142" s="12"/>
      <c r="T1142" s="12"/>
      <c r="U1142" s="10" t="str">
        <f>HYPERLINK("https://pbs.twimg.com/profile_images/961680432218681344/v8phrPeB.jpg","View")</f>
        <v>View</v>
      </c>
    </row>
    <row r="1143" spans="1:21" ht="40.799999999999997">
      <c r="A1143" s="6">
        <v>43424.439664351856</v>
      </c>
      <c r="B1143" s="7" t="str">
        <f>HYPERLINK("https://twitter.com/blackletter98","@blackletter98")</f>
        <v>@blackletter98</v>
      </c>
      <c r="C1143" s="8" t="s">
        <v>4155</v>
      </c>
      <c r="D1143" s="9" t="s">
        <v>4156</v>
      </c>
      <c r="E1143" s="10" t="str">
        <f>HYPERLINK("https://twitter.com/blackletter98/status/1064949776448409600","1064949776448409600")</f>
        <v>1064949776448409600</v>
      </c>
      <c r="F1143" s="12"/>
      <c r="G1143" s="11" t="s">
        <v>4157</v>
      </c>
      <c r="H1143" s="12"/>
      <c r="I1143" s="13">
        <v>0</v>
      </c>
      <c r="J1143" s="13">
        <v>2</v>
      </c>
      <c r="K1143" s="14" t="str">
        <f>HYPERLINK("http://twitter.com/download/android","Twitter for Android")</f>
        <v>Twitter for Android</v>
      </c>
      <c r="L1143" s="13">
        <v>7938</v>
      </c>
      <c r="M1143" s="13">
        <v>3472</v>
      </c>
      <c r="N1143" s="13">
        <v>51</v>
      </c>
      <c r="O1143" s="15"/>
      <c r="P1143" s="6">
        <v>42628.046689814815</v>
      </c>
      <c r="Q1143" s="12"/>
      <c r="R1143" s="16" t="s">
        <v>4158</v>
      </c>
      <c r="S1143" s="12"/>
      <c r="T1143" s="12"/>
      <c r="U1143" s="10" t="str">
        <f>HYPERLINK("https://pbs.twimg.com/profile_images/1054110689898520578/6jdZmcjk.jpg","View")</f>
        <v>View</v>
      </c>
    </row>
    <row r="1144" spans="1:21" ht="30.6">
      <c r="A1144" s="6">
        <v>43424.436643518522</v>
      </c>
      <c r="B1144" s="7" t="str">
        <f>HYPERLINK("https://twitter.com/Playtele_es","@Playtele_es")</f>
        <v>@Playtele_es</v>
      </c>
      <c r="C1144" s="8" t="s">
        <v>4159</v>
      </c>
      <c r="D1144" s="9" t="s">
        <v>4160</v>
      </c>
      <c r="E1144" s="10" t="str">
        <f>HYPERLINK("https://twitter.com/Playtele_es/status/1064948684159356929","1064948684159356929")</f>
        <v>1064948684159356929</v>
      </c>
      <c r="F1144" s="17" t="s">
        <v>4161</v>
      </c>
      <c r="G1144" s="12"/>
      <c r="H1144" s="12"/>
      <c r="I1144" s="13">
        <v>0</v>
      </c>
      <c r="J1144" s="13">
        <v>0</v>
      </c>
      <c r="K1144" s="14" t="str">
        <f>HYPERLINK("http://publicize.wp.com/","WordPress.com")</f>
        <v>WordPress.com</v>
      </c>
      <c r="L1144" s="13">
        <v>441</v>
      </c>
      <c r="M1144" s="13">
        <v>305</v>
      </c>
      <c r="N1144" s="13">
        <v>19</v>
      </c>
      <c r="O1144" s="15"/>
      <c r="P1144" s="6">
        <v>41670.524178240739</v>
      </c>
      <c r="Q1144" s="17" t="s">
        <v>29</v>
      </c>
      <c r="R1144" s="16" t="s">
        <v>4162</v>
      </c>
      <c r="S1144" s="11" t="s">
        <v>4163</v>
      </c>
      <c r="T1144" s="12"/>
      <c r="U1144" s="10" t="str">
        <f>HYPERLINK("https://pbs.twimg.com/profile_images/945366092456906753/KV6J_byY.jpg","View")</f>
        <v>View</v>
      </c>
    </row>
    <row r="1145" spans="1:21" ht="30.6">
      <c r="A1145" s="6">
        <v>43424.434178240743</v>
      </c>
      <c r="B1145" s="7" t="str">
        <f>HYPERLINK("https://twitter.com/wiwi_ngm","@wiwi_ngm")</f>
        <v>@wiwi_ngm</v>
      </c>
      <c r="C1145" s="8" t="s">
        <v>4164</v>
      </c>
      <c r="D1145" s="9" t="s">
        <v>4165</v>
      </c>
      <c r="E1145" s="10" t="str">
        <f>HYPERLINK("https://twitter.com/wiwi_ngm/status/1064947789287907340","1064947789287907340")</f>
        <v>1064947789287907340</v>
      </c>
      <c r="F1145" s="11" t="s">
        <v>3633</v>
      </c>
      <c r="G1145" s="12"/>
      <c r="H1145" s="12"/>
      <c r="I1145" s="13">
        <v>0</v>
      </c>
      <c r="J1145" s="13">
        <v>3</v>
      </c>
      <c r="K1145" s="14" t="str">
        <f>HYPERLINK("http://twitter.com/download/iphone","Twitter for iPhone")</f>
        <v>Twitter for iPhone</v>
      </c>
      <c r="L1145" s="13">
        <v>1427</v>
      </c>
      <c r="M1145" s="13">
        <v>153</v>
      </c>
      <c r="N1145" s="13">
        <v>11</v>
      </c>
      <c r="O1145" s="15"/>
      <c r="P1145" s="6">
        <v>43050.5856712963</v>
      </c>
      <c r="Q1145" s="17" t="s">
        <v>143</v>
      </c>
      <c r="R1145" s="16" t="s">
        <v>4166</v>
      </c>
      <c r="S1145" s="12"/>
      <c r="T1145" s="12"/>
      <c r="U1145" s="10" t="str">
        <f>HYPERLINK("https://pbs.twimg.com/profile_images/1029775449063337984/X5qvbTla.jpg","View")</f>
        <v>View</v>
      </c>
    </row>
    <row r="1146" spans="1:21" ht="30.6">
      <c r="A1146" s="6">
        <v>43424.432326388887</v>
      </c>
      <c r="B1146" s="7" t="str">
        <f>HYPERLINK("https://twitter.com/kavisvaski","@kavisvaski")</f>
        <v>@kavisvaski</v>
      </c>
      <c r="C1146" s="8" t="s">
        <v>4167</v>
      </c>
      <c r="D1146" s="9" t="s">
        <v>4168</v>
      </c>
      <c r="E1146" s="10" t="str">
        <f>HYPERLINK("https://twitter.com/kavisvaski/status/1064947120103464960","1064947120103464960")</f>
        <v>1064947120103464960</v>
      </c>
      <c r="F1146" s="11" t="s">
        <v>4169</v>
      </c>
      <c r="G1146" s="12"/>
      <c r="H1146" s="12"/>
      <c r="I1146" s="13">
        <v>5</v>
      </c>
      <c r="J1146" s="13">
        <v>0</v>
      </c>
      <c r="K1146" s="14" t="str">
        <f>HYPERLINK("http://twitter.com/download/android","Twitter for Android")</f>
        <v>Twitter for Android</v>
      </c>
      <c r="L1146" s="13">
        <v>2435</v>
      </c>
      <c r="M1146" s="13">
        <v>2816</v>
      </c>
      <c r="N1146" s="13">
        <v>6</v>
      </c>
      <c r="O1146" s="15"/>
      <c r="P1146" s="6">
        <v>42615.656701388885</v>
      </c>
      <c r="Q1146" s="12"/>
      <c r="R1146" s="16" t="s">
        <v>4170</v>
      </c>
      <c r="S1146" s="12"/>
      <c r="T1146" s="12"/>
      <c r="U1146" s="10" t="str">
        <f>HYPERLINK("https://pbs.twimg.com/profile_images/1054053055375773697/Y9f375t6.jpg","View")</f>
        <v>View</v>
      </c>
    </row>
    <row r="1147" spans="1:21" ht="40.799999999999997">
      <c r="A1147" s="6">
        <v>43424.418194444443</v>
      </c>
      <c r="B1147" s="7" t="str">
        <f>HYPERLINK("https://twitter.com/ajtoussaint","@ajtoussaint")</f>
        <v>@ajtoussaint</v>
      </c>
      <c r="C1147" s="8" t="s">
        <v>4171</v>
      </c>
      <c r="D1147" s="9" t="s">
        <v>4172</v>
      </c>
      <c r="E1147" s="10" t="str">
        <f>HYPERLINK("https://twitter.com/ajtoussaint/status/1064941999172800512","1064941999172800512")</f>
        <v>1064941999172800512</v>
      </c>
      <c r="F1147" s="17" t="s">
        <v>4173</v>
      </c>
      <c r="G1147" s="11" t="s">
        <v>4174</v>
      </c>
      <c r="H1147" s="12"/>
      <c r="I1147" s="13">
        <v>2</v>
      </c>
      <c r="J1147" s="13">
        <v>5</v>
      </c>
      <c r="K1147" s="14" t="str">
        <f>HYPERLINK("http://twitter.com/download/iphone","Twitter for iPhone")</f>
        <v>Twitter for iPhone</v>
      </c>
      <c r="L1147" s="13">
        <v>1328</v>
      </c>
      <c r="M1147" s="13">
        <v>1599</v>
      </c>
      <c r="N1147" s="13">
        <v>28</v>
      </c>
      <c r="O1147" s="15"/>
      <c r="P1147" s="6">
        <v>40129.718344907407</v>
      </c>
      <c r="Q1147" s="17" t="s">
        <v>4175</v>
      </c>
      <c r="R1147" s="16" t="s">
        <v>4176</v>
      </c>
      <c r="S1147" s="11" t="s">
        <v>4177</v>
      </c>
      <c r="T1147" s="12"/>
      <c r="U1147" s="10" t="str">
        <f>HYPERLINK("https://pbs.twimg.com/profile_images/1054096201723904005/atdPD7NO.jpg","View")</f>
        <v>View</v>
      </c>
    </row>
    <row r="1148" spans="1:21" ht="20.399999999999999">
      <c r="A1148" s="6">
        <v>43424.417824074073</v>
      </c>
      <c r="B1148" s="7" t="str">
        <f>HYPERLINK("https://twitter.com/tribunazamora","@tribunazamora")</f>
        <v>@tribunazamora</v>
      </c>
      <c r="C1148" s="8" t="s">
        <v>4178</v>
      </c>
      <c r="D1148" s="9" t="s">
        <v>4179</v>
      </c>
      <c r="E1148" s="10" t="str">
        <f>HYPERLINK("https://twitter.com/tribunazamora/status/1064941862975406081","1064941862975406081")</f>
        <v>1064941862975406081</v>
      </c>
      <c r="F1148" s="11" t="s">
        <v>4180</v>
      </c>
      <c r="G1148" s="12"/>
      <c r="H1148" s="12"/>
      <c r="I1148" s="13">
        <v>0</v>
      </c>
      <c r="J1148" s="13">
        <v>0</v>
      </c>
      <c r="K1148" s="14" t="str">
        <f>HYPERLINK("http://twitter.com","Twitter Web Client")</f>
        <v>Twitter Web Client</v>
      </c>
      <c r="L1148" s="13">
        <v>1561</v>
      </c>
      <c r="M1148" s="13">
        <v>151</v>
      </c>
      <c r="N1148" s="13">
        <v>32</v>
      </c>
      <c r="O1148" s="15"/>
      <c r="P1148" s="6">
        <v>41374.397581018522</v>
      </c>
      <c r="Q1148" s="17" t="s">
        <v>1363</v>
      </c>
      <c r="R1148" s="16" t="s">
        <v>4181</v>
      </c>
      <c r="S1148" s="11" t="s">
        <v>4182</v>
      </c>
      <c r="T1148" s="12"/>
      <c r="U1148" s="10" t="str">
        <f>HYPERLINK("https://pbs.twimg.com/profile_images/3524726334/835d630dc21714570400bd92bef185c3.jpeg","View")</f>
        <v>View</v>
      </c>
    </row>
    <row r="1149" spans="1:21" ht="30.6">
      <c r="A1149" s="6">
        <v>43424.417048611111</v>
      </c>
      <c r="B1149" s="7" t="str">
        <f>HYPERLINK("https://twitter.com/elpais_espana","@elpais_espana")</f>
        <v>@elpais_espana</v>
      </c>
      <c r="C1149" s="8" t="s">
        <v>1973</v>
      </c>
      <c r="D1149" s="9" t="s">
        <v>4183</v>
      </c>
      <c r="E1149" s="10" t="str">
        <f>HYPERLINK("https://twitter.com/elpais_espana/status/1064941580862263297","1064941580862263297")</f>
        <v>1064941580862263297</v>
      </c>
      <c r="F1149" s="11" t="s">
        <v>4184</v>
      </c>
      <c r="G1149" s="12"/>
      <c r="H1149" s="12"/>
      <c r="I1149" s="13">
        <v>5</v>
      </c>
      <c r="J1149" s="13">
        <v>11</v>
      </c>
      <c r="K1149" s="14" t="str">
        <f>HYPERLINK("https://www.hootsuite.com","Hootsuite Inc.")</f>
        <v>Hootsuite Inc.</v>
      </c>
      <c r="L1149" s="13">
        <v>402652</v>
      </c>
      <c r="M1149" s="13">
        <v>799</v>
      </c>
      <c r="N1149" s="13">
        <v>6325</v>
      </c>
      <c r="O1149" s="19" t="s">
        <v>74</v>
      </c>
      <c r="P1149" s="6">
        <v>40245.413946759261</v>
      </c>
      <c r="Q1149" s="17" t="s">
        <v>76</v>
      </c>
      <c r="R1149" s="16" t="s">
        <v>1976</v>
      </c>
      <c r="S1149" s="11" t="s">
        <v>1977</v>
      </c>
      <c r="T1149" s="12"/>
      <c r="U1149" s="10" t="str">
        <f>HYPERLINK("https://pbs.twimg.com/profile_images/917337394914955264/aoU6Bl-8.jpg","View")</f>
        <v>View</v>
      </c>
    </row>
    <row r="1150" spans="1:21" ht="13.2">
      <c r="A1150" s="6">
        <v>43424.408958333333</v>
      </c>
      <c r="B1150" s="7" t="str">
        <f>HYPERLINK("https://twitter.com/2RADl0","@2RADl0")</f>
        <v>@2RADl0</v>
      </c>
      <c r="C1150" s="8" t="s">
        <v>4185</v>
      </c>
      <c r="D1150" s="9" t="s">
        <v>4186</v>
      </c>
      <c r="E1150" s="10" t="str">
        <f>HYPERLINK("https://twitter.com/2RADl0/status/1064938650000084993","1064938650000084993")</f>
        <v>1064938650000084993</v>
      </c>
      <c r="F1150" s="12"/>
      <c r="G1150" s="11" t="s">
        <v>4187</v>
      </c>
      <c r="H1150" s="12"/>
      <c r="I1150" s="13">
        <v>2</v>
      </c>
      <c r="J1150" s="13">
        <v>0</v>
      </c>
      <c r="K1150" s="14" t="str">
        <f>HYPERLINK("http://twitter.com","Twitter Web Client")</f>
        <v>Twitter Web Client</v>
      </c>
      <c r="L1150" s="13">
        <v>36653</v>
      </c>
      <c r="M1150" s="13">
        <v>15093</v>
      </c>
      <c r="N1150" s="13">
        <v>111</v>
      </c>
      <c r="O1150" s="15"/>
      <c r="P1150" s="6">
        <v>40962.355949074074</v>
      </c>
      <c r="Q1150" s="12"/>
      <c r="R1150" s="16" t="s">
        <v>4188</v>
      </c>
      <c r="S1150" s="12"/>
      <c r="T1150" s="12"/>
      <c r="U1150" s="10" t="str">
        <f>HYPERLINK("https://pbs.twimg.com/profile_images/1044302611267170304/hw5x00le.jpg","View")</f>
        <v>View</v>
      </c>
    </row>
    <row r="1151" spans="1:21" ht="30.6">
      <c r="A1151" s="6">
        <v>43424.403854166667</v>
      </c>
      <c r="B1151" s="7" t="str">
        <f>HYPERLINK("https://twitter.com/Geertxu","@Geertxu")</f>
        <v>@Geertxu</v>
      </c>
      <c r="C1151" s="8" t="s">
        <v>3931</v>
      </c>
      <c r="D1151" s="9" t="s">
        <v>4189</v>
      </c>
      <c r="E1151" s="10" t="str">
        <f>HYPERLINK("https://twitter.com/Geertxu/status/1064936799901024256","1064936799901024256")</f>
        <v>1064936799901024256</v>
      </c>
      <c r="F1151" s="12"/>
      <c r="G1151" s="12"/>
      <c r="H1151" s="12"/>
      <c r="I1151" s="13">
        <v>0</v>
      </c>
      <c r="J1151" s="13">
        <v>1</v>
      </c>
      <c r="K1151" s="14" t="str">
        <f>HYPERLINK("http://twitter.com/download/iphone","Twitter for iPhone")</f>
        <v>Twitter for iPhone</v>
      </c>
      <c r="L1151" s="13">
        <v>2866</v>
      </c>
      <c r="M1151" s="13">
        <v>999</v>
      </c>
      <c r="N1151" s="13">
        <v>45</v>
      </c>
      <c r="O1151" s="15"/>
      <c r="P1151" s="6">
        <v>40612.292673611111</v>
      </c>
      <c r="Q1151" s="17" t="s">
        <v>3934</v>
      </c>
      <c r="R1151" s="16" t="s">
        <v>3935</v>
      </c>
      <c r="S1151" s="12"/>
      <c r="T1151" s="12"/>
      <c r="U1151" s="10" t="str">
        <f>HYPERLINK("https://pbs.twimg.com/profile_images/1050871193451094021/VjkUgdJO.jpg","View")</f>
        <v>View</v>
      </c>
    </row>
    <row r="1152" spans="1:21" ht="30.6">
      <c r="A1152" s="6">
        <v>43424.399618055555</v>
      </c>
      <c r="B1152" s="7" t="str">
        <f>HYPERLINK("https://twitter.com/miquelrossello","@miquelrossello")</f>
        <v>@miquelrossello</v>
      </c>
      <c r="C1152" s="8" t="s">
        <v>4190</v>
      </c>
      <c r="D1152" s="9" t="s">
        <v>4191</v>
      </c>
      <c r="E1152" s="10" t="str">
        <f>HYPERLINK("https://twitter.com/miquelrossello/status/1064935266073411590","1064935266073411590")</f>
        <v>1064935266073411590</v>
      </c>
      <c r="F1152" s="11" t="s">
        <v>3752</v>
      </c>
      <c r="G1152" s="12"/>
      <c r="H1152" s="12"/>
      <c r="I1152" s="13">
        <v>2</v>
      </c>
      <c r="J1152" s="13">
        <v>3</v>
      </c>
      <c r="K1152" s="14" t="str">
        <f>HYPERLINK("https://about.twitter.com/products/tweetdeck","TweetDeck")</f>
        <v>TweetDeck</v>
      </c>
      <c r="L1152" s="13">
        <v>1844</v>
      </c>
      <c r="M1152" s="13">
        <v>1069</v>
      </c>
      <c r="N1152" s="13">
        <v>85</v>
      </c>
      <c r="O1152" s="15"/>
      <c r="P1152" s="6">
        <v>40249.270567129628</v>
      </c>
      <c r="Q1152" s="17" t="s">
        <v>4192</v>
      </c>
      <c r="R1152" s="16" t="s">
        <v>4193</v>
      </c>
      <c r="S1152" s="12"/>
      <c r="T1152" s="12"/>
      <c r="U1152" s="10" t="str">
        <f>HYPERLINK("https://pbs.twimg.com/profile_images/853737441248907264/M9VPVH7p.jpg","View")</f>
        <v>View</v>
      </c>
    </row>
    <row r="1153" spans="1:21" ht="30.6">
      <c r="A1153" s="6">
        <v>43424.396666666667</v>
      </c>
      <c r="B1153" s="7" t="str">
        <f>HYPERLINK("https://twitter.com/arquera54","@arquera54")</f>
        <v>@arquera54</v>
      </c>
      <c r="C1153" s="8" t="s">
        <v>4194</v>
      </c>
      <c r="D1153" s="9" t="s">
        <v>3844</v>
      </c>
      <c r="E1153" s="10" t="str">
        <f>HYPERLINK("https://twitter.com/arquera54/status/1064934193992474627","1064934193992474627")</f>
        <v>1064934193992474627</v>
      </c>
      <c r="F1153" s="11" t="s">
        <v>3633</v>
      </c>
      <c r="G1153" s="12"/>
      <c r="H1153" s="12"/>
      <c r="I1153" s="13">
        <v>1</v>
      </c>
      <c r="J1153" s="13">
        <v>0</v>
      </c>
      <c r="K1153" s="14" t="str">
        <f>HYPERLINK("http://twitter.com/download/android","Twitter for Android")</f>
        <v>Twitter for Android</v>
      </c>
      <c r="L1153" s="13">
        <v>6039</v>
      </c>
      <c r="M1153" s="13">
        <v>6389</v>
      </c>
      <c r="N1153" s="13">
        <v>40</v>
      </c>
      <c r="O1153" s="15"/>
      <c r="P1153" s="6">
        <v>41226.156539351854</v>
      </c>
      <c r="Q1153" s="17" t="s">
        <v>187</v>
      </c>
      <c r="R1153" s="16" t="s">
        <v>4195</v>
      </c>
      <c r="S1153" s="12"/>
      <c r="T1153" s="12"/>
      <c r="U1153" s="10" t="str">
        <f>HYPERLINK("https://pbs.twimg.com/profile_images/412275433367814144/8w21m6MN.jpeg","View")</f>
        <v>View</v>
      </c>
    </row>
    <row r="1154" spans="1:21" ht="20.399999999999999">
      <c r="A1154" s="6">
        <v>43424.396018518513</v>
      </c>
      <c r="B1154" s="7" t="str">
        <f>HYPERLINK("https://twitter.com/NotGip","@NotGip")</f>
        <v>@NotGip</v>
      </c>
      <c r="C1154" s="8" t="s">
        <v>4196</v>
      </c>
      <c r="D1154" s="9" t="s">
        <v>4197</v>
      </c>
      <c r="E1154" s="10" t="str">
        <f>HYPERLINK("https://twitter.com/NotGip/status/1064933959459635201","1064933959459635201")</f>
        <v>1064933959459635201</v>
      </c>
      <c r="F1154" s="11" t="s">
        <v>4198</v>
      </c>
      <c r="G1154" s="11" t="s">
        <v>4199</v>
      </c>
      <c r="H1154" s="12"/>
      <c r="I1154" s="13">
        <v>0</v>
      </c>
      <c r="J1154" s="13">
        <v>0</v>
      </c>
      <c r="K1154" s="14" t="str">
        <f>HYPERLINK("https://www.hootsuite.com","Hootsuite Inc.")</f>
        <v>Hootsuite Inc.</v>
      </c>
      <c r="L1154" s="13">
        <v>17401</v>
      </c>
      <c r="M1154" s="13">
        <v>1251</v>
      </c>
      <c r="N1154" s="13">
        <v>404</v>
      </c>
      <c r="O1154" s="15"/>
      <c r="P1154" s="6">
        <v>40526.353750000002</v>
      </c>
      <c r="Q1154" s="17" t="s">
        <v>2915</v>
      </c>
      <c r="R1154" s="16" t="s">
        <v>4200</v>
      </c>
      <c r="S1154" s="11" t="s">
        <v>4201</v>
      </c>
      <c r="T1154" s="12"/>
      <c r="U1154" s="10" t="str">
        <f>HYPERLINK("https://pbs.twimg.com/profile_images/864821076030783488/EHJUKSEH.jpg","View")</f>
        <v>View</v>
      </c>
    </row>
    <row r="1155" spans="1:21" ht="13.2">
      <c r="A1155" s="6">
        <v>43424.391226851847</v>
      </c>
      <c r="B1155" s="7" t="str">
        <f>HYPERLINK("https://twitter.com/bandolerochato","@bandolerochato")</f>
        <v>@bandolerochato</v>
      </c>
      <c r="C1155" s="8" t="s">
        <v>1768</v>
      </c>
      <c r="D1155" s="9" t="s">
        <v>4202</v>
      </c>
      <c r="E1155" s="10" t="str">
        <f>HYPERLINK("https://twitter.com/bandolerochato/status/1064932224498376704","1064932224498376704")</f>
        <v>1064932224498376704</v>
      </c>
      <c r="F1155" s="12"/>
      <c r="G1155" s="12"/>
      <c r="H1155" s="12"/>
      <c r="I1155" s="13">
        <v>0</v>
      </c>
      <c r="J1155" s="13">
        <v>0</v>
      </c>
      <c r="K1155" s="14" t="str">
        <f t="shared" ref="K1155:K1157" si="209">HYPERLINK("http://twitter.com","Twitter Web Client")</f>
        <v>Twitter Web Client</v>
      </c>
      <c r="L1155" s="13">
        <v>624</v>
      </c>
      <c r="M1155" s="13">
        <v>1224</v>
      </c>
      <c r="N1155" s="13">
        <v>2</v>
      </c>
      <c r="O1155" s="15"/>
      <c r="P1155" s="6">
        <v>41331.411111111112</v>
      </c>
      <c r="Q1155" s="12"/>
      <c r="R1155" s="18"/>
      <c r="S1155" s="12"/>
      <c r="T1155" s="12"/>
      <c r="U1155" s="10" t="str">
        <f>HYPERLINK("https://pbs.twimg.com/profile_images/3311607511/c5d8c6c3cc019abcc10619ed8701dc16.jpeg","View")</f>
        <v>View</v>
      </c>
    </row>
    <row r="1156" spans="1:21" ht="30.6">
      <c r="A1156" s="6">
        <v>43424.384074074071</v>
      </c>
      <c r="B1156" s="7" t="str">
        <f>HYPERLINK("https://twitter.com/PablocalvoHOY","@PablocalvoHOY")</f>
        <v>@PablocalvoHOY</v>
      </c>
      <c r="C1156" s="8" t="s">
        <v>4203</v>
      </c>
      <c r="D1156" s="9" t="s">
        <v>4204</v>
      </c>
      <c r="E1156" s="10" t="str">
        <f>HYPERLINK("https://twitter.com/PablocalvoHOY/status/1064929631294369793","1064929631294369793")</f>
        <v>1064929631294369793</v>
      </c>
      <c r="F1156" s="11" t="s">
        <v>3263</v>
      </c>
      <c r="G1156" s="12"/>
      <c r="H1156" s="12"/>
      <c r="I1156" s="13">
        <v>0</v>
      </c>
      <c r="J1156" s="13">
        <v>0</v>
      </c>
      <c r="K1156" s="14" t="str">
        <f t="shared" si="209"/>
        <v>Twitter Web Client</v>
      </c>
      <c r="L1156" s="13">
        <v>1649</v>
      </c>
      <c r="M1156" s="13">
        <v>883</v>
      </c>
      <c r="N1156" s="13">
        <v>44</v>
      </c>
      <c r="O1156" s="15"/>
      <c r="P1156" s="6">
        <v>40463.647291666668</v>
      </c>
      <c r="Q1156" s="12"/>
      <c r="R1156" s="16" t="s">
        <v>4205</v>
      </c>
      <c r="S1156" s="12"/>
      <c r="T1156" s="12"/>
      <c r="U1156" s="10" t="str">
        <f>HYPERLINK("https://pbs.twimg.com/profile_images/1046166019679637504/3Z5eighp.jpg","View")</f>
        <v>View</v>
      </c>
    </row>
    <row r="1157" spans="1:21" ht="30.6">
      <c r="A1157" s="6">
        <v>43424.380902777775</v>
      </c>
      <c r="B1157" s="7" t="str">
        <f>HYPERLINK("https://twitter.com/SocialCiudadano","@SocialCiudadano")</f>
        <v>@SocialCiudadano</v>
      </c>
      <c r="C1157" s="8" t="s">
        <v>1521</v>
      </c>
      <c r="D1157" s="9" t="s">
        <v>3262</v>
      </c>
      <c r="E1157" s="10" t="str">
        <f>HYPERLINK("https://twitter.com/SocialCiudadano/status/1064928485037215744","1064928485037215744")</f>
        <v>1064928485037215744</v>
      </c>
      <c r="F1157" s="11" t="s">
        <v>3263</v>
      </c>
      <c r="G1157" s="12"/>
      <c r="H1157" s="12"/>
      <c r="I1157" s="13">
        <v>2</v>
      </c>
      <c r="J1157" s="13">
        <v>0</v>
      </c>
      <c r="K1157" s="14" t="str">
        <f t="shared" si="209"/>
        <v>Twitter Web Client</v>
      </c>
      <c r="L1157" s="13">
        <v>642</v>
      </c>
      <c r="M1157" s="13">
        <v>1324</v>
      </c>
      <c r="N1157" s="13">
        <v>2</v>
      </c>
      <c r="O1157" s="15"/>
      <c r="P1157" s="6">
        <v>42388.582048611112</v>
      </c>
      <c r="Q1157" s="17" t="s">
        <v>1523</v>
      </c>
      <c r="R1157" s="16" t="s">
        <v>1524</v>
      </c>
      <c r="S1157" s="11" t="s">
        <v>1525</v>
      </c>
      <c r="T1157" s="12"/>
      <c r="U1157" s="10" t="str">
        <f>HYPERLINK("https://pbs.twimg.com/profile_images/989849592748564480/jnmloev4.jpg","View")</f>
        <v>View</v>
      </c>
    </row>
    <row r="1158" spans="1:21" ht="91.8">
      <c r="A1158" s="6">
        <v>43424.380277777775</v>
      </c>
      <c r="B1158" s="7" t="str">
        <f>HYPERLINK("https://twitter.com/josediazherrer3","@josediazherrer3")</f>
        <v>@josediazherrer3</v>
      </c>
      <c r="C1158" s="8" t="s">
        <v>4206</v>
      </c>
      <c r="D1158" s="9" t="s">
        <v>4207</v>
      </c>
      <c r="E1158" s="10" t="str">
        <f>HYPERLINK("https://twitter.com/josediazherrer3/status/1064928255839518721","1064928255839518721")</f>
        <v>1064928255839518721</v>
      </c>
      <c r="F1158" s="17" t="s">
        <v>4208</v>
      </c>
      <c r="G1158" s="12"/>
      <c r="H1158" s="12"/>
      <c r="I1158" s="13">
        <v>0</v>
      </c>
      <c r="J1158" s="13">
        <v>0</v>
      </c>
      <c r="K1158" s="14" t="str">
        <f>HYPERLINK("https://mobile.twitter.com","Twitter Lite")</f>
        <v>Twitter Lite</v>
      </c>
      <c r="L1158" s="13">
        <v>155</v>
      </c>
      <c r="M1158" s="13">
        <v>557</v>
      </c>
      <c r="N1158" s="13">
        <v>7</v>
      </c>
      <c r="O1158" s="15"/>
      <c r="P1158" s="6">
        <v>41370.202222222222</v>
      </c>
      <c r="Q1158" s="17" t="s">
        <v>4209</v>
      </c>
      <c r="R1158" s="16" t="s">
        <v>4210</v>
      </c>
      <c r="S1158" s="11" t="s">
        <v>4211</v>
      </c>
      <c r="T1158" s="12"/>
      <c r="U1158" s="10" t="str">
        <f>HYPERLINK("https://pbs.twimg.com/profile_images/3486517335/94a2f7295a7ece927e7b3d3953f74fc4.jpeg","View")</f>
        <v>View</v>
      </c>
    </row>
    <row r="1159" spans="1:21" ht="40.799999999999997">
      <c r="A1159" s="6">
        <v>43424.37663194444</v>
      </c>
      <c r="B1159" s="7" t="str">
        <f>HYPERLINK("https://twitter.com/bewater71","@bewater71")</f>
        <v>@bewater71</v>
      </c>
      <c r="C1159" s="8" t="s">
        <v>4212</v>
      </c>
      <c r="D1159" s="9" t="s">
        <v>4213</v>
      </c>
      <c r="E1159" s="10" t="str">
        <f>HYPERLINK("https://twitter.com/bewater71/status/1064926933933273088","1064926933933273088")</f>
        <v>1064926933933273088</v>
      </c>
      <c r="F1159" s="12"/>
      <c r="G1159" s="12"/>
      <c r="H1159" s="12"/>
      <c r="I1159" s="13">
        <v>0</v>
      </c>
      <c r="J1159" s="13">
        <v>0</v>
      </c>
      <c r="K1159" s="14" t="str">
        <f>HYPERLINK("http://twitter.com/download/android","Twitter for Android")</f>
        <v>Twitter for Android</v>
      </c>
      <c r="L1159" s="13">
        <v>105</v>
      </c>
      <c r="M1159" s="13">
        <v>591</v>
      </c>
      <c r="N1159" s="13">
        <v>3</v>
      </c>
      <c r="O1159" s="15"/>
      <c r="P1159" s="6">
        <v>41519.09784722222</v>
      </c>
      <c r="Q1159" s="17" t="s">
        <v>29</v>
      </c>
      <c r="R1159" s="16" t="s">
        <v>4214</v>
      </c>
      <c r="S1159" s="12"/>
      <c r="T1159" s="12"/>
      <c r="U1159" s="10" t="str">
        <f>HYPERLINK("https://pbs.twimg.com/profile_images/1064286202847772678/RNLW45t5.jpg","View")</f>
        <v>View</v>
      </c>
    </row>
    <row r="1160" spans="1:21" ht="40.799999999999997">
      <c r="A1160" s="6">
        <v>43424.374467592592</v>
      </c>
      <c r="B1160" s="7" t="str">
        <f>HYPERLINK("https://twitter.com/pilar51","@pilar51")</f>
        <v>@pilar51</v>
      </c>
      <c r="C1160" s="8" t="s">
        <v>4215</v>
      </c>
      <c r="D1160" s="9" t="s">
        <v>4216</v>
      </c>
      <c r="E1160" s="10" t="str">
        <f>HYPERLINK("https://twitter.com/pilar51/status/1064926149996933130","1064926149996933130")</f>
        <v>1064926149996933130</v>
      </c>
      <c r="F1160" s="11" t="s">
        <v>3118</v>
      </c>
      <c r="G1160" s="12"/>
      <c r="H1160" s="12"/>
      <c r="I1160" s="13">
        <v>2</v>
      </c>
      <c r="J1160" s="13">
        <v>0</v>
      </c>
      <c r="K1160" s="14" t="str">
        <f>HYPERLINK("http://twitter.com/#!/download/ipad","Twitter for iPad")</f>
        <v>Twitter for iPad</v>
      </c>
      <c r="L1160" s="13">
        <v>8885</v>
      </c>
      <c r="M1160" s="13">
        <v>7071</v>
      </c>
      <c r="N1160" s="13">
        <v>133</v>
      </c>
      <c r="O1160" s="15"/>
      <c r="P1160" s="6">
        <v>40388.117893518516</v>
      </c>
      <c r="Q1160" s="17" t="s">
        <v>4217</v>
      </c>
      <c r="R1160" s="16" t="s">
        <v>4218</v>
      </c>
      <c r="S1160" s="12"/>
      <c r="T1160" s="12"/>
      <c r="U1160" s="10" t="str">
        <f>HYPERLINK("https://pbs.twimg.com/profile_images/906082148528136193/X9QLljFF.jpg","View")</f>
        <v>View</v>
      </c>
    </row>
    <row r="1161" spans="1:21" ht="40.799999999999997">
      <c r="A1161" s="6">
        <v>43424.373506944445</v>
      </c>
      <c r="B1161" s="7" t="str">
        <f>HYPERLINK("https://twitter.com/fromtheTartarus","@fromtheTartarus")</f>
        <v>@fromtheTartarus</v>
      </c>
      <c r="C1161" s="8" t="s">
        <v>2073</v>
      </c>
      <c r="D1161" s="9" t="s">
        <v>4219</v>
      </c>
      <c r="E1161" s="10" t="str">
        <f>HYPERLINK("https://twitter.com/fromtheTartarus/status/1064925802695921665","1064925802695921665")</f>
        <v>1064925802695921665</v>
      </c>
      <c r="F1161" s="12"/>
      <c r="G1161" s="12"/>
      <c r="H1161" s="12"/>
      <c r="I1161" s="13">
        <v>1</v>
      </c>
      <c r="J1161" s="13">
        <v>2</v>
      </c>
      <c r="K1161" s="14" t="str">
        <f>HYPERLINK("http://twitter.com/download/android","Twitter for Android")</f>
        <v>Twitter for Android</v>
      </c>
      <c r="L1161" s="13">
        <v>1317</v>
      </c>
      <c r="M1161" s="13">
        <v>1331</v>
      </c>
      <c r="N1161" s="13">
        <v>0</v>
      </c>
      <c r="O1161" s="15"/>
      <c r="P1161" s="6">
        <v>41490.311990740738</v>
      </c>
      <c r="Q1161" s="12"/>
      <c r="R1161" s="16" t="s">
        <v>2075</v>
      </c>
      <c r="S1161" s="12"/>
      <c r="T1161" s="12"/>
      <c r="U1161" s="10" t="str">
        <f>HYPERLINK("https://pbs.twimg.com/profile_images/1053912689972523008/kZhxHvEO.jpg","View")</f>
        <v>View</v>
      </c>
    </row>
    <row r="1162" spans="1:21" ht="40.799999999999997">
      <c r="A1162" s="6">
        <v>43424.372986111106</v>
      </c>
      <c r="B1162" s="7" t="str">
        <f>HYPERLINK("https://twitter.com/dickie825","@dickie825")</f>
        <v>@dickie825</v>
      </c>
      <c r="C1162" s="8" t="s">
        <v>3870</v>
      </c>
      <c r="D1162" s="9" t="s">
        <v>3871</v>
      </c>
      <c r="E1162" s="10" t="str">
        <f>HYPERLINK("https://twitter.com/dickie825/status/1064925615965368320","1064925615965368320")</f>
        <v>1064925615965368320</v>
      </c>
      <c r="F1162" s="11" t="s">
        <v>4220</v>
      </c>
      <c r="G1162" s="11" t="s">
        <v>4221</v>
      </c>
      <c r="H1162" s="12"/>
      <c r="I1162" s="13">
        <v>0</v>
      </c>
      <c r="J1162" s="13">
        <v>0</v>
      </c>
      <c r="K1162" s="14" t="str">
        <f>HYPERLINK("https://dlvrit.com/","dlvr.it")</f>
        <v>dlvr.it</v>
      </c>
      <c r="L1162" s="13">
        <v>3462</v>
      </c>
      <c r="M1162" s="13">
        <v>2367</v>
      </c>
      <c r="N1162" s="13">
        <v>23</v>
      </c>
      <c r="O1162" s="15"/>
      <c r="P1162" s="6">
        <v>41702.551354166666</v>
      </c>
      <c r="Q1162" s="17" t="s">
        <v>3875</v>
      </c>
      <c r="R1162" s="16" t="s">
        <v>3876</v>
      </c>
      <c r="S1162" s="11" t="s">
        <v>3878</v>
      </c>
      <c r="T1162" s="12"/>
      <c r="U1162" s="10" t="str">
        <f>HYPERLINK("https://pbs.twimg.com/profile_images/462982799574581250/pOhVVnh8.png","View")</f>
        <v>View</v>
      </c>
    </row>
    <row r="1163" spans="1:21" ht="40.799999999999997">
      <c r="A1163" s="6">
        <v>43424.368946759263</v>
      </c>
      <c r="B1163" s="7" t="str">
        <f>HYPERLINK("https://twitter.com/PazGildo","@PazGildo")</f>
        <v>@PazGildo</v>
      </c>
      <c r="C1163" s="8" t="s">
        <v>4222</v>
      </c>
      <c r="D1163" s="9" t="s">
        <v>4223</v>
      </c>
      <c r="E1163" s="10" t="str">
        <f>HYPERLINK("https://twitter.com/PazGildo/status/1064924148810567680","1064924148810567680")</f>
        <v>1064924148810567680</v>
      </c>
      <c r="F1163" s="12"/>
      <c r="G1163" s="12"/>
      <c r="H1163" s="12"/>
      <c r="I1163" s="13">
        <v>0</v>
      </c>
      <c r="J1163" s="13">
        <v>1</v>
      </c>
      <c r="K1163" s="14" t="str">
        <f t="shared" ref="K1163:K1164" si="210">HYPERLINK("http://twitter.com/download/android","Twitter for Android")</f>
        <v>Twitter for Android</v>
      </c>
      <c r="L1163" s="13">
        <v>6</v>
      </c>
      <c r="M1163" s="13">
        <v>21</v>
      </c>
      <c r="N1163" s="13">
        <v>0</v>
      </c>
      <c r="O1163" s="15"/>
      <c r="P1163" s="6">
        <v>43379.541643518518</v>
      </c>
      <c r="Q1163" s="17" t="s">
        <v>2486</v>
      </c>
      <c r="R1163" s="18"/>
      <c r="S1163" s="12"/>
      <c r="T1163" s="12"/>
      <c r="U1163" s="19" t="s">
        <v>368</v>
      </c>
    </row>
    <row r="1164" spans="1:21" ht="51">
      <c r="A1164" s="6">
        <v>43424.368495370371</v>
      </c>
      <c r="B1164" s="7" t="str">
        <f>HYPERLINK("https://twitter.com/gines_rico","@gines_rico")</f>
        <v>@gines_rico</v>
      </c>
      <c r="C1164" s="8" t="s">
        <v>3128</v>
      </c>
      <c r="D1164" s="9" t="s">
        <v>4224</v>
      </c>
      <c r="E1164" s="10" t="str">
        <f>HYPERLINK("https://twitter.com/gines_rico/status/1064923985354342400","1064923985354342400")</f>
        <v>1064923985354342400</v>
      </c>
      <c r="F1164" s="12"/>
      <c r="G1164" s="12"/>
      <c r="H1164" s="12"/>
      <c r="I1164" s="13">
        <v>32</v>
      </c>
      <c r="J1164" s="13">
        <v>16</v>
      </c>
      <c r="K1164" s="14" t="str">
        <f t="shared" si="210"/>
        <v>Twitter for Android</v>
      </c>
      <c r="L1164" s="13">
        <v>2784</v>
      </c>
      <c r="M1164" s="13">
        <v>4993</v>
      </c>
      <c r="N1164" s="13">
        <v>13</v>
      </c>
      <c r="O1164" s="15"/>
      <c r="P1164" s="6">
        <v>40903.176192129627</v>
      </c>
      <c r="Q1164" s="17" t="s">
        <v>3131</v>
      </c>
      <c r="R1164" s="16" t="s">
        <v>3132</v>
      </c>
      <c r="S1164" s="12"/>
      <c r="T1164" s="12"/>
      <c r="U1164" s="10" t="str">
        <f>HYPERLINK("https://pbs.twimg.com/profile_images/1028734777174777856/OkaO-pKT.jpg","View")</f>
        <v>View</v>
      </c>
    </row>
    <row r="1165" spans="1:21" ht="30.6">
      <c r="A1165" s="6">
        <v>43424.365289351852</v>
      </c>
      <c r="B1165" s="7" t="str">
        <f>HYPERLINK("https://twitter.com/SpazianiG","@SpazianiG")</f>
        <v>@SpazianiG</v>
      </c>
      <c r="C1165" s="8" t="s">
        <v>3532</v>
      </c>
      <c r="D1165" s="9" t="s">
        <v>4225</v>
      </c>
      <c r="E1165" s="10" t="str">
        <f>HYPERLINK("https://twitter.com/SpazianiG/status/1064922826401042432","1064922826401042432")</f>
        <v>1064922826401042432</v>
      </c>
      <c r="F1165" s="11" t="s">
        <v>4226</v>
      </c>
      <c r="G1165" s="12"/>
      <c r="H1165" s="12"/>
      <c r="I1165" s="13">
        <v>0</v>
      </c>
      <c r="J1165" s="13">
        <v>0</v>
      </c>
      <c r="K1165" s="14" t="str">
        <f>HYPERLINK("http://twitter.com","Twitter Web Client")</f>
        <v>Twitter Web Client</v>
      </c>
      <c r="L1165" s="13">
        <v>2697</v>
      </c>
      <c r="M1165" s="13">
        <v>2449</v>
      </c>
      <c r="N1165" s="13">
        <v>72</v>
      </c>
      <c r="O1165" s="15"/>
      <c r="P1165" s="6">
        <v>40869.496562500004</v>
      </c>
      <c r="Q1165" s="17" t="s">
        <v>405</v>
      </c>
      <c r="R1165" s="16" t="s">
        <v>3535</v>
      </c>
      <c r="S1165" s="12"/>
      <c r="T1165" s="12"/>
      <c r="U1165" s="10" t="str">
        <f>HYPERLINK("https://pbs.twimg.com/profile_images/2397944309/qs6m1fbws67nyskcpe1v.jpeg","View")</f>
        <v>View</v>
      </c>
    </row>
    <row r="1166" spans="1:21" ht="30.6">
      <c r="A1166" s="6">
        <v>43424.365208333329</v>
      </c>
      <c r="B1166" s="7" t="str">
        <f>HYPERLINK("https://twitter.com/Maryloyalsanche","@Maryloyalsanche")</f>
        <v>@Maryloyalsanche</v>
      </c>
      <c r="C1166" s="8" t="s">
        <v>4227</v>
      </c>
      <c r="D1166" s="9" t="s">
        <v>4228</v>
      </c>
      <c r="E1166" s="10" t="str">
        <f>HYPERLINK("https://twitter.com/Maryloyalsanche/status/1064922795547795456","1064922795547795456")</f>
        <v>1064922795547795456</v>
      </c>
      <c r="F1166" s="17" t="s">
        <v>4229</v>
      </c>
      <c r="G1166" s="12"/>
      <c r="H1166" s="12"/>
      <c r="I1166" s="13">
        <v>0</v>
      </c>
      <c r="J1166" s="13">
        <v>1</v>
      </c>
      <c r="K1166" s="14" t="str">
        <f t="shared" ref="K1166:K1167" si="211">HYPERLINK("http://twitter.com/download/iphone","Twitter for iPhone")</f>
        <v>Twitter for iPhone</v>
      </c>
      <c r="L1166" s="13">
        <v>461</v>
      </c>
      <c r="M1166" s="13">
        <v>864</v>
      </c>
      <c r="N1166" s="13">
        <v>7</v>
      </c>
      <c r="O1166" s="15"/>
      <c r="P1166" s="6">
        <v>41623.241782407407</v>
      </c>
      <c r="Q1166" s="12"/>
      <c r="R1166" s="16" t="s">
        <v>4230</v>
      </c>
      <c r="S1166" s="12"/>
      <c r="T1166" s="12"/>
      <c r="U1166" s="10" t="str">
        <f>HYPERLINK("https://pbs.twimg.com/profile_images/864623771415494656/oipUjqdX.jpg","View")</f>
        <v>View</v>
      </c>
    </row>
    <row r="1167" spans="1:21" ht="51">
      <c r="A1167" s="6">
        <v>43424.357604166667</v>
      </c>
      <c r="B1167" s="7" t="str">
        <f>HYPERLINK("https://twitter.com/martaamoreno","@martaamoreno")</f>
        <v>@martaamoreno</v>
      </c>
      <c r="C1167" s="8" t="s">
        <v>4231</v>
      </c>
      <c r="D1167" s="9" t="s">
        <v>4232</v>
      </c>
      <c r="E1167" s="10" t="str">
        <f>HYPERLINK("https://twitter.com/martaamoreno/status/1064920042196881408","1064920042196881408")</f>
        <v>1064920042196881408</v>
      </c>
      <c r="F1167" s="12"/>
      <c r="G1167" s="12"/>
      <c r="H1167" s="12"/>
      <c r="I1167" s="13">
        <v>1</v>
      </c>
      <c r="J1167" s="13">
        <v>2</v>
      </c>
      <c r="K1167" s="14" t="str">
        <f t="shared" si="211"/>
        <v>Twitter for iPhone</v>
      </c>
      <c r="L1167" s="13">
        <v>364</v>
      </c>
      <c r="M1167" s="13">
        <v>1011</v>
      </c>
      <c r="N1167" s="13">
        <v>2</v>
      </c>
      <c r="O1167" s="15"/>
      <c r="P1167" s="6">
        <v>40696.62939814815</v>
      </c>
      <c r="Q1167" s="17" t="s">
        <v>4233</v>
      </c>
      <c r="R1167" s="16" t="s">
        <v>4234</v>
      </c>
      <c r="S1167" s="12"/>
      <c r="T1167" s="12"/>
      <c r="U1167" s="10" t="str">
        <f>HYPERLINK("https://pbs.twimg.com/profile_images/1063164576475344897/wdOjkaUm.jpg","View")</f>
        <v>View</v>
      </c>
    </row>
    <row r="1168" spans="1:21" ht="30.6">
      <c r="A1168" s="6">
        <v>43424.35601851852</v>
      </c>
      <c r="B1168" s="7" t="str">
        <f>HYPERLINK("https://twitter.com/vito_d_corleone","@vito_d_corleone")</f>
        <v>@vito_d_corleone</v>
      </c>
      <c r="C1168" s="8" t="s">
        <v>4235</v>
      </c>
      <c r="D1168" s="9" t="s">
        <v>4236</v>
      </c>
      <c r="E1168" s="10" t="str">
        <f>HYPERLINK("https://twitter.com/vito_d_corleone/status/1064919464221790213","1064919464221790213")</f>
        <v>1064919464221790213</v>
      </c>
      <c r="F1168" s="12"/>
      <c r="G1168" s="11" t="s">
        <v>4237</v>
      </c>
      <c r="H1168" s="12"/>
      <c r="I1168" s="13">
        <v>0</v>
      </c>
      <c r="J1168" s="13">
        <v>0</v>
      </c>
      <c r="K1168" s="14" t="str">
        <f>HYPERLINK("http://twitter.com/download/android","Twitter for Android")</f>
        <v>Twitter for Android</v>
      </c>
      <c r="L1168" s="13">
        <v>904</v>
      </c>
      <c r="M1168" s="13">
        <v>296</v>
      </c>
      <c r="N1168" s="13">
        <v>19</v>
      </c>
      <c r="O1168" s="15"/>
      <c r="P1168" s="6">
        <v>40370.206550925926</v>
      </c>
      <c r="Q1168" s="12"/>
      <c r="R1168" s="16" t="s">
        <v>4238</v>
      </c>
      <c r="S1168" s="11" t="s">
        <v>4239</v>
      </c>
      <c r="T1168" s="12"/>
      <c r="U1168" s="10" t="str">
        <f>HYPERLINK("https://pbs.twimg.com/profile_images/838682580182515712/_DjttMPo.jpg","View")</f>
        <v>View</v>
      </c>
    </row>
    <row r="1169" spans="1:21" ht="40.799999999999997">
      <c r="A1169" s="6">
        <v>43424.353206018517</v>
      </c>
      <c r="B1169" s="7" t="str">
        <f>HYPERLINK("https://twitter.com/FG72373327","@FG72373327")</f>
        <v>@FG72373327</v>
      </c>
      <c r="C1169" s="8" t="s">
        <v>3802</v>
      </c>
      <c r="D1169" s="9" t="s">
        <v>4240</v>
      </c>
      <c r="E1169" s="10" t="str">
        <f>HYPERLINK("https://twitter.com/FG72373327/status/1064918445500723200","1064918445500723200")</f>
        <v>1064918445500723200</v>
      </c>
      <c r="F1169" s="17" t="s">
        <v>4241</v>
      </c>
      <c r="G1169" s="12"/>
      <c r="H1169" s="12"/>
      <c r="I1169" s="13">
        <v>0</v>
      </c>
      <c r="J1169" s="13">
        <v>0</v>
      </c>
      <c r="K1169" s="14" t="str">
        <f>HYPERLINK("http://twitter.com/download/iphone","Twitter for iPhone")</f>
        <v>Twitter for iPhone</v>
      </c>
      <c r="L1169" s="13">
        <v>861</v>
      </c>
      <c r="M1169" s="13">
        <v>886</v>
      </c>
      <c r="N1169" s="13">
        <v>6</v>
      </c>
      <c r="O1169" s="15"/>
      <c r="P1169" s="6">
        <v>42977.021006944444</v>
      </c>
      <c r="Q1169" s="17" t="s">
        <v>26</v>
      </c>
      <c r="R1169" s="18"/>
      <c r="S1169" s="12"/>
      <c r="T1169" s="12"/>
      <c r="U1169" s="10" t="str">
        <f>HYPERLINK("https://pbs.twimg.com/profile_images/902802729009111040/RUuGyEn7.jpg","View")</f>
        <v>View</v>
      </c>
    </row>
    <row r="1170" spans="1:21" ht="20.399999999999999">
      <c r="A1170" s="6">
        <v>43424.351585648154</v>
      </c>
      <c r="B1170" s="7" t="str">
        <f>HYPERLINK("https://twitter.com/RusiaBall","@RusiaBall")</f>
        <v>@RusiaBall</v>
      </c>
      <c r="C1170" s="8" t="s">
        <v>4242</v>
      </c>
      <c r="D1170" s="9" t="s">
        <v>4243</v>
      </c>
      <c r="E1170" s="10" t="str">
        <f>HYPERLINK("https://twitter.com/RusiaBall/status/1064917858839379968","1064917858839379968")</f>
        <v>1064917858839379968</v>
      </c>
      <c r="F1170" s="12"/>
      <c r="G1170" s="11" t="s">
        <v>4244</v>
      </c>
      <c r="H1170" s="12"/>
      <c r="I1170" s="13">
        <v>28</v>
      </c>
      <c r="J1170" s="13">
        <v>76</v>
      </c>
      <c r="K1170" s="14" t="str">
        <f>HYPERLINK("http://twitter.com/download/android","Twitter for Android")</f>
        <v>Twitter for Android</v>
      </c>
      <c r="L1170" s="13">
        <v>743</v>
      </c>
      <c r="M1170" s="13">
        <v>284</v>
      </c>
      <c r="N1170" s="13">
        <v>2</v>
      </c>
      <c r="O1170" s="15"/>
      <c r="P1170" s="6">
        <v>43141.235694444447</v>
      </c>
      <c r="Q1170" s="17" t="s">
        <v>4245</v>
      </c>
      <c r="R1170" s="16" t="s">
        <v>4246</v>
      </c>
      <c r="S1170" s="11" t="s">
        <v>4247</v>
      </c>
      <c r="T1170" s="12"/>
      <c r="U1170" s="10" t="str">
        <f>HYPERLINK("https://pbs.twimg.com/profile_images/1057914291075145729/0PY42fkR.jpg","View")</f>
        <v>View</v>
      </c>
    </row>
    <row r="1171" spans="1:21" ht="51">
      <c r="A1171" s="6">
        <v>43424.351226851853</v>
      </c>
      <c r="B1171" s="7" t="str">
        <f>HYPERLINK("https://twitter.com/antonioperal","@antonioperal")</f>
        <v>@antonioperal</v>
      </c>
      <c r="C1171" s="8" t="s">
        <v>4248</v>
      </c>
      <c r="D1171" s="9" t="s">
        <v>4249</v>
      </c>
      <c r="E1171" s="10" t="str">
        <f>HYPERLINK("https://twitter.com/antonioperal/status/1064917727570272262","1064917727570272262")</f>
        <v>1064917727570272262</v>
      </c>
      <c r="F1171" s="11" t="s">
        <v>4250</v>
      </c>
      <c r="G1171" s="12"/>
      <c r="H1171" s="12"/>
      <c r="I1171" s="13">
        <v>3</v>
      </c>
      <c r="J1171" s="13">
        <v>4</v>
      </c>
      <c r="K1171" s="14" t="str">
        <f t="shared" ref="K1171:K1174" si="212">HYPERLINK("http://twitter.com","Twitter Web Client")</f>
        <v>Twitter Web Client</v>
      </c>
      <c r="L1171" s="13">
        <v>17604</v>
      </c>
      <c r="M1171" s="13">
        <v>12087</v>
      </c>
      <c r="N1171" s="13">
        <v>283</v>
      </c>
      <c r="O1171" s="15"/>
      <c r="P1171" s="6">
        <v>40232.031469907408</v>
      </c>
      <c r="Q1171" s="17" t="s">
        <v>4251</v>
      </c>
      <c r="R1171" s="16" t="s">
        <v>4252</v>
      </c>
      <c r="S1171" s="11" t="s">
        <v>4253</v>
      </c>
      <c r="T1171" s="12"/>
      <c r="U1171" s="10" t="str">
        <f>HYPERLINK("https://pbs.twimg.com/profile_images/886138908311990273/JuZB9dVx.jpg","View")</f>
        <v>View</v>
      </c>
    </row>
    <row r="1172" spans="1:21" ht="40.799999999999997">
      <c r="A1172" s="6">
        <v>43424.350914351853</v>
      </c>
      <c r="B1172" s="7" t="str">
        <f>HYPERLINK("https://twitter.com/eslatarde","@eslatarde")</f>
        <v>@eslatarde</v>
      </c>
      <c r="C1172" s="8" t="s">
        <v>4254</v>
      </c>
      <c r="D1172" s="9" t="s">
        <v>4255</v>
      </c>
      <c r="E1172" s="10" t="str">
        <f>HYPERLINK("https://twitter.com/eslatarde/status/1064917616123412480","1064917616123412480")</f>
        <v>1064917616123412480</v>
      </c>
      <c r="F1172" s="12"/>
      <c r="G1172" s="12"/>
      <c r="H1172" s="12"/>
      <c r="I1172" s="13">
        <v>10</v>
      </c>
      <c r="J1172" s="13">
        <v>16</v>
      </c>
      <c r="K1172" s="14" t="str">
        <f t="shared" si="212"/>
        <v>Twitter Web Client</v>
      </c>
      <c r="L1172" s="13">
        <v>21218</v>
      </c>
      <c r="M1172" s="13">
        <v>1195</v>
      </c>
      <c r="N1172" s="13">
        <v>178</v>
      </c>
      <c r="O1172" s="19" t="s">
        <v>74</v>
      </c>
      <c r="P1172" s="6">
        <v>41487.325925925928</v>
      </c>
      <c r="Q1172" s="12"/>
      <c r="R1172" s="16" t="s">
        <v>4256</v>
      </c>
      <c r="S1172" s="11" t="s">
        <v>4257</v>
      </c>
      <c r="T1172" s="12"/>
      <c r="U1172" s="10" t="str">
        <f>HYPERLINK("https://pbs.twimg.com/profile_images/430657794740457472/J8u4e-W3.jpeg","View")</f>
        <v>View</v>
      </c>
    </row>
    <row r="1173" spans="1:21" ht="20.399999999999999">
      <c r="A1173" s="6">
        <v>43424.347604166665</v>
      </c>
      <c r="B1173" s="7" t="str">
        <f>HYPERLINK("https://twitter.com/MOONVICUS4","@MOONVICUS4")</f>
        <v>@MOONVICUS4</v>
      </c>
      <c r="C1173" s="8" t="s">
        <v>4258</v>
      </c>
      <c r="D1173" s="9" t="s">
        <v>4259</v>
      </c>
      <c r="E1173" s="10" t="str">
        <f>HYPERLINK("https://twitter.com/MOONVICUS4/status/1064916418146250753","1064916418146250753")</f>
        <v>1064916418146250753</v>
      </c>
      <c r="F1173" s="11" t="s">
        <v>3168</v>
      </c>
      <c r="G1173" s="12"/>
      <c r="H1173" s="12"/>
      <c r="I1173" s="13">
        <v>0</v>
      </c>
      <c r="J1173" s="13">
        <v>0</v>
      </c>
      <c r="K1173" s="14" t="str">
        <f t="shared" si="212"/>
        <v>Twitter Web Client</v>
      </c>
      <c r="L1173" s="13">
        <v>590</v>
      </c>
      <c r="M1173" s="13">
        <v>3728</v>
      </c>
      <c r="N1173" s="13">
        <v>1</v>
      </c>
      <c r="O1173" s="15"/>
      <c r="P1173" s="6">
        <v>42934.212685185186</v>
      </c>
      <c r="Q1173" s="12"/>
      <c r="R1173" s="18"/>
      <c r="S1173" s="12"/>
      <c r="T1173" s="12"/>
      <c r="U1173" s="19" t="s">
        <v>368</v>
      </c>
    </row>
    <row r="1174" spans="1:21" ht="51">
      <c r="A1174" s="6">
        <v>43424.346597222218</v>
      </c>
      <c r="B1174" s="7" t="str">
        <f>HYPERLINK("https://twitter.com/eslatarde","@eslatarde")</f>
        <v>@eslatarde</v>
      </c>
      <c r="C1174" s="8" t="s">
        <v>4254</v>
      </c>
      <c r="D1174" s="9" t="s">
        <v>4261</v>
      </c>
      <c r="E1174" s="10" t="str">
        <f>HYPERLINK("https://twitter.com/eslatarde/status/1064916051580866560","1064916051580866560")</f>
        <v>1064916051580866560</v>
      </c>
      <c r="F1174" s="12"/>
      <c r="G1174" s="12"/>
      <c r="H1174" s="12"/>
      <c r="I1174" s="13">
        <v>48</v>
      </c>
      <c r="J1174" s="13">
        <v>122</v>
      </c>
      <c r="K1174" s="14" t="str">
        <f t="shared" si="212"/>
        <v>Twitter Web Client</v>
      </c>
      <c r="L1174" s="13">
        <v>21218</v>
      </c>
      <c r="M1174" s="13">
        <v>1195</v>
      </c>
      <c r="N1174" s="13">
        <v>178</v>
      </c>
      <c r="O1174" s="19" t="s">
        <v>74</v>
      </c>
      <c r="P1174" s="6">
        <v>41487.325925925928</v>
      </c>
      <c r="Q1174" s="12"/>
      <c r="R1174" s="16" t="s">
        <v>4256</v>
      </c>
      <c r="S1174" s="11" t="s">
        <v>4257</v>
      </c>
      <c r="T1174" s="12"/>
      <c r="U1174" s="10" t="str">
        <f>HYPERLINK("https://pbs.twimg.com/profile_images/430657794740457472/J8u4e-W3.jpeg","View")</f>
        <v>View</v>
      </c>
    </row>
    <row r="1175" spans="1:21" ht="13.2">
      <c r="A1175" s="6">
        <v>43424.3434375</v>
      </c>
      <c r="B1175" s="7" t="str">
        <f>HYPERLINK("https://twitter.com/RADIOLECOSTALUZ","@RADIOLECOSTALUZ")</f>
        <v>@RADIOLECOSTALUZ</v>
      </c>
      <c r="C1175" s="20" t="s">
        <v>4262</v>
      </c>
      <c r="D1175" s="9" t="s">
        <v>4263</v>
      </c>
      <c r="E1175" s="10" t="str">
        <f>HYPERLINK("https://twitter.com/RADIOLECOSTALUZ/status/1064914905889951745","1064914905889951745")</f>
        <v>1064914905889951745</v>
      </c>
      <c r="F1175" s="11" t="s">
        <v>4264</v>
      </c>
      <c r="G1175" s="12"/>
      <c r="H1175" s="12"/>
      <c r="I1175" s="13">
        <v>0</v>
      </c>
      <c r="J1175" s="13">
        <v>0</v>
      </c>
      <c r="K1175" s="14" t="str">
        <f>HYPERLINK("http://www.facebook.com/twitter","Facebook")</f>
        <v>Facebook</v>
      </c>
      <c r="L1175" s="13">
        <v>1407</v>
      </c>
      <c r="M1175" s="13">
        <v>41</v>
      </c>
      <c r="N1175" s="13">
        <v>10</v>
      </c>
      <c r="O1175" s="15"/>
      <c r="P1175" s="6">
        <v>40790.37572916667</v>
      </c>
      <c r="Q1175" s="17" t="s">
        <v>4266</v>
      </c>
      <c r="R1175" s="18"/>
      <c r="S1175" s="11" t="s">
        <v>4267</v>
      </c>
      <c r="T1175" s="12"/>
      <c r="U1175" s="10" t="str">
        <f>HYPERLINK("https://pbs.twimg.com/profile_images/1528323672/radiol__lepe.jpg","View")</f>
        <v>View</v>
      </c>
    </row>
    <row r="1176" spans="1:21" ht="20.399999999999999">
      <c r="A1176" s="6">
        <v>43424.337754629625</v>
      </c>
      <c r="B1176" s="7" t="str">
        <f>HYPERLINK("https://twitter.com/0bservador_","@0bservador_")</f>
        <v>@0bservador_</v>
      </c>
      <c r="C1176" s="8" t="s">
        <v>4268</v>
      </c>
      <c r="D1176" s="9" t="s">
        <v>4259</v>
      </c>
      <c r="E1176" s="10" t="str">
        <f>HYPERLINK("https://twitter.com/0bservador_/status/1064912848437084161","1064912848437084161")</f>
        <v>1064912848437084161</v>
      </c>
      <c r="F1176" s="11" t="s">
        <v>3168</v>
      </c>
      <c r="G1176" s="12"/>
      <c r="H1176" s="12"/>
      <c r="I1176" s="13">
        <v>0</v>
      </c>
      <c r="J1176" s="13">
        <v>0</v>
      </c>
      <c r="K1176" s="14" t="str">
        <f t="shared" ref="K1176:K1177" si="213">HYPERLINK("http://twitter.com","Twitter Web Client")</f>
        <v>Twitter Web Client</v>
      </c>
      <c r="L1176" s="13">
        <v>218</v>
      </c>
      <c r="M1176" s="13">
        <v>117</v>
      </c>
      <c r="N1176" s="13">
        <v>15</v>
      </c>
      <c r="O1176" s="15"/>
      <c r="P1176" s="6">
        <v>40729.352662037039</v>
      </c>
      <c r="Q1176" s="17" t="s">
        <v>4269</v>
      </c>
      <c r="R1176" s="16" t="s">
        <v>4270</v>
      </c>
      <c r="S1176" s="12"/>
      <c r="T1176" s="12"/>
      <c r="U1176" s="10" t="str">
        <f>HYPERLINK("https://pbs.twimg.com/profile_images/1428146785/Tarkovsky-Stalker-TheHeart.jpg","View")</f>
        <v>View</v>
      </c>
    </row>
    <row r="1177" spans="1:21" ht="30.6">
      <c r="A1177" s="6">
        <v>43424.337696759263</v>
      </c>
      <c r="B1177" s="7" t="str">
        <f>HYPERLINK("https://twitter.com/jlbenavente","@jlbenavente")</f>
        <v>@jlbenavente</v>
      </c>
      <c r="C1177" s="8" t="s">
        <v>4271</v>
      </c>
      <c r="D1177" s="9" t="s">
        <v>4272</v>
      </c>
      <c r="E1177" s="10" t="str">
        <f>HYPERLINK("https://twitter.com/jlbenavente/status/1064912825175429120","1064912825175429120")</f>
        <v>1064912825175429120</v>
      </c>
      <c r="F1177" s="11" t="s">
        <v>3168</v>
      </c>
      <c r="G1177" s="12"/>
      <c r="H1177" s="12"/>
      <c r="I1177" s="13">
        <v>0</v>
      </c>
      <c r="J1177" s="13">
        <v>1</v>
      </c>
      <c r="K1177" s="14" t="str">
        <f t="shared" si="213"/>
        <v>Twitter Web Client</v>
      </c>
      <c r="L1177" s="13">
        <v>625</v>
      </c>
      <c r="M1177" s="13">
        <v>562</v>
      </c>
      <c r="N1177" s="13">
        <v>20</v>
      </c>
      <c r="O1177" s="15"/>
      <c r="P1177" s="6">
        <v>41058.618645833332</v>
      </c>
      <c r="Q1177" s="17" t="s">
        <v>29</v>
      </c>
      <c r="R1177" s="16" t="s">
        <v>4273</v>
      </c>
      <c r="S1177" s="11" t="s">
        <v>4274</v>
      </c>
      <c r="T1177" s="12"/>
      <c r="U1177" s="10" t="str">
        <f>HYPERLINK("https://pbs.twimg.com/profile_images/599255423422754816/V2zpWpSV.jpg","View")</f>
        <v>View</v>
      </c>
    </row>
    <row r="1178" spans="1:21" ht="40.799999999999997">
      <c r="A1178" s="6">
        <v>43424.334085648152</v>
      </c>
      <c r="B1178" s="7" t="str">
        <f>HYPERLINK("https://twitter.com/HorcajoXavier","@HorcajoXavier")</f>
        <v>@HorcajoXavier</v>
      </c>
      <c r="C1178" s="8" t="s">
        <v>4275</v>
      </c>
      <c r="D1178" s="9" t="s">
        <v>4276</v>
      </c>
      <c r="E1178" s="10" t="str">
        <f>HYPERLINK("https://twitter.com/HorcajoXavier/status/1064911516024127493","1064911516024127493")</f>
        <v>1064911516024127493</v>
      </c>
      <c r="F1178" s="12"/>
      <c r="G1178" s="12"/>
      <c r="H1178" s="12"/>
      <c r="I1178" s="13">
        <v>2</v>
      </c>
      <c r="J1178" s="13">
        <v>10</v>
      </c>
      <c r="K1178" s="14" t="str">
        <f>HYPERLINK("http://twitter.com/download/iphone","Twitter for iPhone")</f>
        <v>Twitter for iPhone</v>
      </c>
      <c r="L1178" s="13">
        <v>1544</v>
      </c>
      <c r="M1178" s="13">
        <v>135</v>
      </c>
      <c r="N1178" s="13">
        <v>13</v>
      </c>
      <c r="O1178" s="15"/>
      <c r="P1178" s="6">
        <v>43049.128101851849</v>
      </c>
      <c r="Q1178" s="17" t="s">
        <v>143</v>
      </c>
      <c r="R1178" s="16" t="s">
        <v>4277</v>
      </c>
      <c r="S1178" s="12"/>
      <c r="T1178" s="12"/>
      <c r="U1178" s="10" t="str">
        <f>HYPERLINK("https://pbs.twimg.com/profile_images/929344516598980609/wNLwk7o8.jpg","View")</f>
        <v>View</v>
      </c>
    </row>
    <row r="1179" spans="1:21" ht="20.399999999999999">
      <c r="A1179" s="6">
        <v>43424.333043981482</v>
      </c>
      <c r="B1179" s="7" t="str">
        <f>HYPERLINK("https://twitter.com/Torrox2015PP","@Torrox2015PP")</f>
        <v>@Torrox2015PP</v>
      </c>
      <c r="C1179" s="8" t="s">
        <v>4278</v>
      </c>
      <c r="D1179" s="9" t="s">
        <v>4279</v>
      </c>
      <c r="E1179" s="10" t="str">
        <f>HYPERLINK("https://twitter.com/Torrox2015PP/status/1064911141225287681","1064911141225287681")</f>
        <v>1064911141225287681</v>
      </c>
      <c r="F1179" s="11" t="s">
        <v>4280</v>
      </c>
      <c r="G1179" s="12"/>
      <c r="H1179" s="12"/>
      <c r="I1179" s="13">
        <v>0</v>
      </c>
      <c r="J1179" s="13">
        <v>0</v>
      </c>
      <c r="K1179" s="14" t="str">
        <f>HYPERLINK("http://www.facebook.com/twitter","Facebook")</f>
        <v>Facebook</v>
      </c>
      <c r="L1179" s="13">
        <v>446</v>
      </c>
      <c r="M1179" s="13">
        <v>428</v>
      </c>
      <c r="N1179" s="13">
        <v>17</v>
      </c>
      <c r="O1179" s="15"/>
      <c r="P1179" s="6">
        <v>41691.276944444442</v>
      </c>
      <c r="Q1179" s="17" t="s">
        <v>4281</v>
      </c>
      <c r="R1179" s="16" t="s">
        <v>4282</v>
      </c>
      <c r="S1179" s="12"/>
      <c r="T1179" s="12"/>
      <c r="U1179" s="10" t="str">
        <f>HYPERLINK("https://pbs.twimg.com/profile_images/619271678250622977/T2We36ph.jpg","View")</f>
        <v>View</v>
      </c>
    </row>
    <row r="1180" spans="1:21" ht="30.6">
      <c r="A1180" s="6">
        <v>43424.331226851849</v>
      </c>
      <c r="B1180" s="7" t="str">
        <f>HYPERLINK("https://twitter.com/valbu98","@valbu98")</f>
        <v>@valbu98</v>
      </c>
      <c r="C1180" s="8" t="s">
        <v>4283</v>
      </c>
      <c r="D1180" s="9" t="s">
        <v>4284</v>
      </c>
      <c r="E1180" s="10" t="str">
        <f>HYPERLINK("https://twitter.com/valbu98/status/1064910483348697088","1064910483348697088")</f>
        <v>1064910483348697088</v>
      </c>
      <c r="F1180" s="12"/>
      <c r="G1180" s="12"/>
      <c r="H1180" s="12"/>
      <c r="I1180" s="13">
        <v>0</v>
      </c>
      <c r="J1180" s="13">
        <v>0</v>
      </c>
      <c r="K1180" s="14" t="str">
        <f>HYPERLINK("http://twitter.com","Twitter Web Client")</f>
        <v>Twitter Web Client</v>
      </c>
      <c r="L1180" s="13">
        <v>257</v>
      </c>
      <c r="M1180" s="13">
        <v>194</v>
      </c>
      <c r="N1180" s="13">
        <v>3</v>
      </c>
      <c r="O1180" s="15"/>
      <c r="P1180" s="6">
        <v>41227.560833333337</v>
      </c>
      <c r="Q1180" s="17" t="s">
        <v>4285</v>
      </c>
      <c r="R1180" s="16" t="s">
        <v>4286</v>
      </c>
      <c r="S1180" s="12"/>
      <c r="T1180" s="12"/>
      <c r="U1180" s="10" t="str">
        <f>HYPERLINK("https://pbs.twimg.com/profile_images/764957086597939204/o9M_QXSY.jpg","View")</f>
        <v>View</v>
      </c>
    </row>
    <row r="1181" spans="1:21" ht="40.799999999999997">
      <c r="A1181" s="6">
        <v>43424.330914351856</v>
      </c>
      <c r="B1181" s="7" t="str">
        <f>HYPERLINK("https://twitter.com/caval100","@caval100")</f>
        <v>@caval100</v>
      </c>
      <c r="C1181" s="8" t="s">
        <v>1350</v>
      </c>
      <c r="D1181" s="9" t="s">
        <v>4287</v>
      </c>
      <c r="E1181" s="10" t="str">
        <f>HYPERLINK("https://twitter.com/caval100/status/1064910368701652992","1064910368701652992")</f>
        <v>1064910368701652992</v>
      </c>
      <c r="F1181" s="11" t="s">
        <v>3118</v>
      </c>
      <c r="G1181" s="11" t="s">
        <v>4288</v>
      </c>
      <c r="H1181" s="12"/>
      <c r="I1181" s="13">
        <v>1</v>
      </c>
      <c r="J1181" s="13">
        <v>0</v>
      </c>
      <c r="K1181" s="14" t="str">
        <f>HYPERLINK("http://twitter.com/download/android","Twitter for Android")</f>
        <v>Twitter for Android</v>
      </c>
      <c r="L1181" s="13">
        <v>119224</v>
      </c>
      <c r="M1181" s="13">
        <v>94076</v>
      </c>
      <c r="N1181" s="13">
        <v>980</v>
      </c>
      <c r="O1181" s="15"/>
      <c r="P1181" s="6">
        <v>40079.062094907407</v>
      </c>
      <c r="Q1181" s="17" t="s">
        <v>971</v>
      </c>
      <c r="R1181" s="16" t="s">
        <v>1352</v>
      </c>
      <c r="S1181" s="11" t="s">
        <v>1353</v>
      </c>
      <c r="T1181" s="12"/>
      <c r="U1181" s="10" t="str">
        <f>HYPERLINK("https://pbs.twimg.com/profile_images/965350678301429760/uvGI7g8U.jpg","View")</f>
        <v>View</v>
      </c>
    </row>
    <row r="1182" spans="1:21" ht="30.6">
      <c r="A1182" s="6">
        <v>43424.326226851852</v>
      </c>
      <c r="B1182" s="7" t="str">
        <f>HYPERLINK("https://twitter.com/ElHuffPost","@ElHuffPost")</f>
        <v>@ElHuffPost</v>
      </c>
      <c r="C1182" s="8" t="s">
        <v>467</v>
      </c>
      <c r="D1182" s="9" t="s">
        <v>4290</v>
      </c>
      <c r="E1182" s="10" t="str">
        <f>HYPERLINK("https://twitter.com/ElHuffPost/status/1064908667361869825","1064908667361869825")</f>
        <v>1064908667361869825</v>
      </c>
      <c r="F1182" s="11" t="s">
        <v>4291</v>
      </c>
      <c r="G1182" s="11" t="s">
        <v>4292</v>
      </c>
      <c r="H1182" s="12"/>
      <c r="I1182" s="13">
        <v>2</v>
      </c>
      <c r="J1182" s="13">
        <v>0</v>
      </c>
      <c r="K1182" s="14" t="str">
        <f t="shared" ref="K1182:K1183" si="214">HYPERLINK("http://twitter.com","Twitter Web Client")</f>
        <v>Twitter Web Client</v>
      </c>
      <c r="L1182" s="13">
        <v>430323</v>
      </c>
      <c r="M1182" s="13">
        <v>1532</v>
      </c>
      <c r="N1182" s="13">
        <v>8186</v>
      </c>
      <c r="O1182" s="19" t="s">
        <v>74</v>
      </c>
      <c r="P1182" s="6">
        <v>40784.652118055557</v>
      </c>
      <c r="Q1182" s="17" t="s">
        <v>203</v>
      </c>
      <c r="R1182" s="16" t="s">
        <v>471</v>
      </c>
      <c r="S1182" s="11" t="s">
        <v>472</v>
      </c>
      <c r="T1182" s="12"/>
      <c r="U1182" s="10" t="str">
        <f>HYPERLINK("https://pbs.twimg.com/profile_images/921140803422089217/ETOEUOAx.jpg","View")</f>
        <v>View</v>
      </c>
    </row>
    <row r="1183" spans="1:21" ht="20.399999999999999">
      <c r="A1183" s="6">
        <v>43424.324432870373</v>
      </c>
      <c r="B1183" s="7" t="str">
        <f>HYPERLINK("https://twitter.com/nuevatribuna","@nuevatribuna")</f>
        <v>@nuevatribuna</v>
      </c>
      <c r="C1183" s="8" t="s">
        <v>4293</v>
      </c>
      <c r="D1183" s="9" t="s">
        <v>4287</v>
      </c>
      <c r="E1183" s="10" t="str">
        <f>HYPERLINK("https://twitter.com/nuevatribuna/status/1064908019660742657","1064908019660742657")</f>
        <v>1064908019660742657</v>
      </c>
      <c r="F1183" s="11" t="s">
        <v>3118</v>
      </c>
      <c r="G1183" s="11" t="s">
        <v>4288</v>
      </c>
      <c r="H1183" s="12"/>
      <c r="I1183" s="13">
        <v>2</v>
      </c>
      <c r="J1183" s="13">
        <v>0</v>
      </c>
      <c r="K1183" s="14" t="str">
        <f t="shared" si="214"/>
        <v>Twitter Web Client</v>
      </c>
      <c r="L1183" s="13">
        <v>20143</v>
      </c>
      <c r="M1183" s="13">
        <v>4092</v>
      </c>
      <c r="N1183" s="13">
        <v>887</v>
      </c>
      <c r="O1183" s="15"/>
      <c r="P1183" s="6">
        <v>39815.370844907404</v>
      </c>
      <c r="Q1183" s="17" t="s">
        <v>374</v>
      </c>
      <c r="R1183" s="16" t="s">
        <v>4294</v>
      </c>
      <c r="S1183" s="11" t="s">
        <v>4295</v>
      </c>
      <c r="T1183" s="12"/>
      <c r="U1183" s="10" t="str">
        <f>HYPERLINK("https://pbs.twimg.com/profile_images/971074134582194176/79JuxxAh.jpg","View")</f>
        <v>View</v>
      </c>
    </row>
    <row r="1184" spans="1:21" ht="30.6">
      <c r="A1184" s="6">
        <v>43424.32402777778</v>
      </c>
      <c r="B1184" s="7" t="str">
        <f>HYPERLINK("https://twitter.com/okdiario","@okdiario")</f>
        <v>@okdiario</v>
      </c>
      <c r="C1184" s="8" t="s">
        <v>4296</v>
      </c>
      <c r="D1184" s="9" t="s">
        <v>4297</v>
      </c>
      <c r="E1184" s="10" t="str">
        <f>HYPERLINK("https://twitter.com/okdiario/status/1064907872654540800","1064907872654540800")</f>
        <v>1064907872654540800</v>
      </c>
      <c r="F1184" s="11" t="s">
        <v>4298</v>
      </c>
      <c r="G1184" s="12"/>
      <c r="H1184" s="12"/>
      <c r="I1184" s="13">
        <v>13</v>
      </c>
      <c r="J1184" s="13">
        <v>15</v>
      </c>
      <c r="K1184" s="14" t="str">
        <f>HYPERLINK("https://www.echobox.com","Echobox Social")</f>
        <v>Echobox Social</v>
      </c>
      <c r="L1184" s="13">
        <v>109326</v>
      </c>
      <c r="M1184" s="13">
        <v>337</v>
      </c>
      <c r="N1184" s="13">
        <v>1420</v>
      </c>
      <c r="O1184" s="19" t="s">
        <v>74</v>
      </c>
      <c r="P1184" s="6">
        <v>42241.333229166667</v>
      </c>
      <c r="Q1184" s="12"/>
      <c r="R1184" s="16" t="s">
        <v>4299</v>
      </c>
      <c r="S1184" s="11" t="s">
        <v>4300</v>
      </c>
      <c r="T1184" s="12"/>
      <c r="U1184" s="10" t="str">
        <f>HYPERLINK("https://pbs.twimg.com/profile_images/789113773697208320/3LvFvi8Q.jpg","View")</f>
        <v>View</v>
      </c>
    </row>
    <row r="1185" spans="1:21" ht="40.799999999999997">
      <c r="A1185" s="6">
        <v>43424.32231481481</v>
      </c>
      <c r="B1185" s="7" t="str">
        <f>HYPERLINK("https://twitter.com/salvadorpastorb","@salvadorpastorb")</f>
        <v>@salvadorpastorb</v>
      </c>
      <c r="C1185" s="8" t="s">
        <v>3251</v>
      </c>
      <c r="D1185" s="9" t="s">
        <v>4301</v>
      </c>
      <c r="E1185" s="10" t="str">
        <f>HYPERLINK("https://twitter.com/salvadorpastorb/status/1064907250278514688","1064907250278514688")</f>
        <v>1064907250278514688</v>
      </c>
      <c r="F1185" s="11" t="s">
        <v>4302</v>
      </c>
      <c r="G1185" s="12"/>
      <c r="H1185" s="12"/>
      <c r="I1185" s="13">
        <v>0</v>
      </c>
      <c r="J1185" s="13">
        <v>0</v>
      </c>
      <c r="K1185" s="14" t="str">
        <f>HYPERLINK("http://twitter.com","Twitter Web Client")</f>
        <v>Twitter Web Client</v>
      </c>
      <c r="L1185" s="13">
        <v>1851</v>
      </c>
      <c r="M1185" s="13">
        <v>5004</v>
      </c>
      <c r="N1185" s="13">
        <v>50</v>
      </c>
      <c r="O1185" s="15"/>
      <c r="P1185" s="6">
        <v>40971.659629629634</v>
      </c>
      <c r="Q1185" s="17" t="s">
        <v>29</v>
      </c>
      <c r="R1185" s="16" t="s">
        <v>3253</v>
      </c>
      <c r="S1185" s="11" t="s">
        <v>3254</v>
      </c>
      <c r="T1185" s="12"/>
      <c r="U1185" s="10" t="str">
        <f>HYPERLINK("https://pbs.twimg.com/profile_images/1872162133/Imagen__4_.jpg","View")</f>
        <v>View</v>
      </c>
    </row>
    <row r="1186" spans="1:21" ht="30.6">
      <c r="A1186" s="6">
        <v>43424.321527777778</v>
      </c>
      <c r="B1186" s="7" t="str">
        <f>HYPERLINK("https://twitter.com/1vanLara","@1vanLara")</f>
        <v>@1vanLara</v>
      </c>
      <c r="C1186" s="8" t="s">
        <v>4303</v>
      </c>
      <c r="D1186" s="9" t="s">
        <v>4304</v>
      </c>
      <c r="E1186" s="10" t="str">
        <f>HYPERLINK("https://twitter.com/1vanLara/status/1064906968119345154","1064906968119345154")</f>
        <v>1064906968119345154</v>
      </c>
      <c r="F1186" s="12"/>
      <c r="G1186" s="11" t="s">
        <v>4305</v>
      </c>
      <c r="H1186" s="12"/>
      <c r="I1186" s="13">
        <v>0</v>
      </c>
      <c r="J1186" s="13">
        <v>0</v>
      </c>
      <c r="K1186" s="14" t="str">
        <f>HYPERLINK("http://tapbots.com/tweetbot","Tweetbot for iΟS")</f>
        <v>Tweetbot for iΟS</v>
      </c>
      <c r="L1186" s="13">
        <v>169</v>
      </c>
      <c r="M1186" s="13">
        <v>195</v>
      </c>
      <c r="N1186" s="13">
        <v>12</v>
      </c>
      <c r="O1186" s="15"/>
      <c r="P1186" s="6">
        <v>40782.389710648145</v>
      </c>
      <c r="Q1186" s="17" t="s">
        <v>4289</v>
      </c>
      <c r="R1186" s="16" t="s">
        <v>4306</v>
      </c>
      <c r="S1186" s="11" t="s">
        <v>4307</v>
      </c>
      <c r="T1186" s="12"/>
      <c r="U1186" s="10" t="str">
        <f>HYPERLINK("https://pbs.twimg.com/profile_images/737328012417478656/8ofpwcrn.jpg","View")</f>
        <v>View</v>
      </c>
    </row>
    <row r="1187" spans="1:21" ht="30.6">
      <c r="A1187" s="6">
        <v>43424.320034722223</v>
      </c>
      <c r="B1187" s="7" t="str">
        <f>HYPERLINK("https://twitter.com/ancabocristiano","@ancabocristiano")</f>
        <v>@ancabocristiano</v>
      </c>
      <c r="C1187" s="8" t="s">
        <v>4308</v>
      </c>
      <c r="D1187" s="9" t="s">
        <v>4309</v>
      </c>
      <c r="E1187" s="10" t="str">
        <f>HYPERLINK("https://twitter.com/ancabocristiano/status/1064906425787432960","1064906425787432960")</f>
        <v>1064906425787432960</v>
      </c>
      <c r="F1187" s="11" t="s">
        <v>4310</v>
      </c>
      <c r="G1187" s="12"/>
      <c r="H1187" s="12"/>
      <c r="I1187" s="13">
        <v>0</v>
      </c>
      <c r="J1187" s="13">
        <v>0</v>
      </c>
      <c r="K1187" s="14" t="str">
        <f t="shared" ref="K1187:K1190" si="215">HYPERLINK("http://twitter.com","Twitter Web Client")</f>
        <v>Twitter Web Client</v>
      </c>
      <c r="L1187" s="13">
        <v>725</v>
      </c>
      <c r="M1187" s="13">
        <v>1174</v>
      </c>
      <c r="N1187" s="13">
        <v>17</v>
      </c>
      <c r="O1187" s="15"/>
      <c r="P1187" s="6">
        <v>40588.637638888889</v>
      </c>
      <c r="Q1187" s="17" t="s">
        <v>4312</v>
      </c>
      <c r="R1187" s="16" t="s">
        <v>4313</v>
      </c>
      <c r="S1187" s="12"/>
      <c r="T1187" s="12"/>
      <c r="U1187" s="10" t="str">
        <f>HYPERLINK("https://pbs.twimg.com/profile_images/1498277119/Antonio_Twiter.JPG","View")</f>
        <v>View</v>
      </c>
    </row>
    <row r="1188" spans="1:21" ht="40.799999999999997">
      <c r="A1188" s="6">
        <v>43424.3199537037</v>
      </c>
      <c r="B1188" s="7" t="str">
        <f>HYPERLINK("https://twitter.com/JesusOrtegaE","@JesusOrtegaE")</f>
        <v>@JesusOrtegaE</v>
      </c>
      <c r="C1188" s="8" t="s">
        <v>4314</v>
      </c>
      <c r="D1188" s="9" t="s">
        <v>4315</v>
      </c>
      <c r="E1188" s="10" t="str">
        <f>HYPERLINK("https://twitter.com/JesusOrtegaE/status/1064906394510471169","1064906394510471169")</f>
        <v>1064906394510471169</v>
      </c>
      <c r="F1188" s="11" t="s">
        <v>4316</v>
      </c>
      <c r="G1188" s="11" t="s">
        <v>4317</v>
      </c>
      <c r="H1188" s="12"/>
      <c r="I1188" s="13">
        <v>2</v>
      </c>
      <c r="J1188" s="13">
        <v>3</v>
      </c>
      <c r="K1188" s="14" t="str">
        <f t="shared" si="215"/>
        <v>Twitter Web Client</v>
      </c>
      <c r="L1188" s="13">
        <v>1013</v>
      </c>
      <c r="M1188" s="13">
        <v>907</v>
      </c>
      <c r="N1188" s="13">
        <v>49</v>
      </c>
      <c r="O1188" s="15"/>
      <c r="P1188" s="6">
        <v>40294.439687500002</v>
      </c>
      <c r="Q1188" s="12"/>
      <c r="R1188" s="16" t="s">
        <v>4318</v>
      </c>
      <c r="S1188" s="12"/>
      <c r="T1188" s="12"/>
      <c r="U1188" s="10" t="str">
        <f>HYPERLINK("https://pbs.twimg.com/profile_images/686624690882895872/zGQ0_CVq.jpg","View")</f>
        <v>View</v>
      </c>
    </row>
    <row r="1189" spans="1:21" ht="20.399999999999999">
      <c r="A1189" s="6">
        <v>43424.312280092592</v>
      </c>
      <c r="B1189" s="7" t="str">
        <f>HYPERLINK("https://twitter.com/exorientelvx","@exorientelvx")</f>
        <v>@exorientelvx</v>
      </c>
      <c r="C1189" s="8" t="s">
        <v>4319</v>
      </c>
      <c r="D1189" s="9" t="s">
        <v>4320</v>
      </c>
      <c r="E1189" s="10" t="str">
        <f>HYPERLINK("https://twitter.com/exorientelvx/status/1064903614227992577","1064903614227992577")</f>
        <v>1064903614227992577</v>
      </c>
      <c r="F1189" s="11" t="s">
        <v>3168</v>
      </c>
      <c r="G1189" s="12"/>
      <c r="H1189" s="12"/>
      <c r="I1189" s="13">
        <v>0</v>
      </c>
      <c r="J1189" s="13">
        <v>0</v>
      </c>
      <c r="K1189" s="14" t="str">
        <f t="shared" si="215"/>
        <v>Twitter Web Client</v>
      </c>
      <c r="L1189" s="13">
        <v>132</v>
      </c>
      <c r="M1189" s="13">
        <v>546</v>
      </c>
      <c r="N1189" s="13">
        <v>25</v>
      </c>
      <c r="O1189" s="15"/>
      <c r="P1189" s="6">
        <v>40458.597708333335</v>
      </c>
      <c r="Q1189" s="12"/>
      <c r="R1189" s="16" t="s">
        <v>4321</v>
      </c>
      <c r="S1189" s="12"/>
      <c r="T1189" s="12"/>
      <c r="U1189" s="10" t="str">
        <f>HYPERLINK("https://pbs.twimg.com/profile_images/685982641364033536/COqnPCMf.jpg","View")</f>
        <v>View</v>
      </c>
    </row>
    <row r="1190" spans="1:21" ht="40.799999999999997">
      <c r="A1190" s="6">
        <v>43424.307569444441</v>
      </c>
      <c r="B1190" s="7" t="str">
        <f>HYPERLINK("https://twitter.com/carserbar","@carserbar")</f>
        <v>@carserbar</v>
      </c>
      <c r="C1190" s="8" t="s">
        <v>4322</v>
      </c>
      <c r="D1190" s="9" t="s">
        <v>4323</v>
      </c>
      <c r="E1190" s="10" t="str">
        <f>HYPERLINK("https://twitter.com/carserbar/status/1064901907251105794","1064901907251105794")</f>
        <v>1064901907251105794</v>
      </c>
      <c r="F1190" s="17" t="s">
        <v>4324</v>
      </c>
      <c r="G1190" s="12"/>
      <c r="H1190" s="12"/>
      <c r="I1190" s="13">
        <v>1</v>
      </c>
      <c r="J1190" s="13">
        <v>6</v>
      </c>
      <c r="K1190" s="14" t="str">
        <f t="shared" si="215"/>
        <v>Twitter Web Client</v>
      </c>
      <c r="L1190" s="13">
        <v>1528</v>
      </c>
      <c r="M1190" s="13">
        <v>2112</v>
      </c>
      <c r="N1190" s="13">
        <v>58</v>
      </c>
      <c r="O1190" s="15"/>
      <c r="P1190" s="6">
        <v>40184.439444444448</v>
      </c>
      <c r="Q1190" s="17" t="s">
        <v>98</v>
      </c>
      <c r="R1190" s="16" t="s">
        <v>4325</v>
      </c>
      <c r="S1190" s="12"/>
      <c r="T1190" s="12"/>
      <c r="U1190" s="10" t="str">
        <f>HYPERLINK("https://pbs.twimg.com/profile_images/453563817897623552/6ZRNkOft.jpeg","View")</f>
        <v>View</v>
      </c>
    </row>
    <row r="1191" spans="1:21" ht="40.799999999999997">
      <c r="A1191" s="6">
        <v>43424.307523148149</v>
      </c>
      <c r="B1191" s="7" t="str">
        <f>HYPERLINK("https://twitter.com/AlbertoSotillos","@AlbertoSotillos")</f>
        <v>@AlbertoSotillos</v>
      </c>
      <c r="C1191" s="8" t="s">
        <v>4326</v>
      </c>
      <c r="D1191" s="9" t="s">
        <v>4327</v>
      </c>
      <c r="E1191" s="10" t="str">
        <f>HYPERLINK("https://twitter.com/AlbertoSotillos/status/1064901892000620545","1064901892000620545")</f>
        <v>1064901892000620545</v>
      </c>
      <c r="F1191" s="17" t="s">
        <v>4328</v>
      </c>
      <c r="G1191" s="11" t="s">
        <v>4329</v>
      </c>
      <c r="H1191" s="12"/>
      <c r="I1191" s="13">
        <v>3</v>
      </c>
      <c r="J1191" s="13">
        <v>4</v>
      </c>
      <c r="K1191" s="14" t="str">
        <f>HYPERLINK("http://twitter.com/download/iphone","Twitter for iPhone")</f>
        <v>Twitter for iPhone</v>
      </c>
      <c r="L1191" s="13">
        <v>13896</v>
      </c>
      <c r="M1191" s="13">
        <v>2171</v>
      </c>
      <c r="N1191" s="13">
        <v>385</v>
      </c>
      <c r="O1191" s="19" t="s">
        <v>74</v>
      </c>
      <c r="P1191" s="6">
        <v>39937.14949074074</v>
      </c>
      <c r="Q1191" s="12"/>
      <c r="R1191" s="16" t="s">
        <v>4330</v>
      </c>
      <c r="S1191" s="11" t="s">
        <v>4331</v>
      </c>
      <c r="T1191" s="12"/>
      <c r="U1191" s="10" t="str">
        <f>HYPERLINK("https://pbs.twimg.com/profile_images/1065341188029460480/CbL3g2Kw.jpg","View")</f>
        <v>View</v>
      </c>
    </row>
    <row r="1192" spans="1:21" ht="20.399999999999999">
      <c r="A1192" s="6">
        <v>43424.306342592594</v>
      </c>
      <c r="B1192" s="7" t="str">
        <f>HYPERLINK("https://twitter.com/javicoperlaza","@javicoperlaza")</f>
        <v>@javicoperlaza</v>
      </c>
      <c r="C1192" s="8" t="s">
        <v>4332</v>
      </c>
      <c r="D1192" s="9" t="s">
        <v>4333</v>
      </c>
      <c r="E1192" s="10" t="str">
        <f>HYPERLINK("https://twitter.com/javicoperlaza/status/1064901463372169216","1064901463372169216")</f>
        <v>1064901463372169216</v>
      </c>
      <c r="F1192" s="11" t="s">
        <v>4334</v>
      </c>
      <c r="G1192" s="12"/>
      <c r="H1192" s="12"/>
      <c r="I1192" s="13">
        <v>1</v>
      </c>
      <c r="J1192" s="13">
        <v>0</v>
      </c>
      <c r="K1192" s="14" t="str">
        <f>HYPERLINK("http://twitter.com/download/android","Twitter for Android")</f>
        <v>Twitter for Android</v>
      </c>
      <c r="L1192" s="13">
        <v>2690</v>
      </c>
      <c r="M1192" s="13">
        <v>2592</v>
      </c>
      <c r="N1192" s="13">
        <v>56</v>
      </c>
      <c r="O1192" s="15"/>
      <c r="P1192" s="6">
        <v>40927.380127314813</v>
      </c>
      <c r="Q1192" s="12"/>
      <c r="R1192" s="18"/>
      <c r="S1192" s="12"/>
      <c r="T1192" s="12"/>
      <c r="U1192" s="10" t="str">
        <f>HYPERLINK("https://pbs.twimg.com/profile_images/1061138533035970561/bByYfrah.jpg","View")</f>
        <v>View</v>
      </c>
    </row>
    <row r="1193" spans="1:21" ht="51">
      <c r="A1193" s="6">
        <v>43424.303194444445</v>
      </c>
      <c r="B1193" s="7" t="str">
        <f>HYPERLINK("https://twitter.com/eslatarde","@eslatarde")</f>
        <v>@eslatarde</v>
      </c>
      <c r="C1193" s="8" t="s">
        <v>4254</v>
      </c>
      <c r="D1193" s="9" t="s">
        <v>4335</v>
      </c>
      <c r="E1193" s="10" t="str">
        <f>HYPERLINK("https://twitter.com/eslatarde/status/1064900324606050304","1064900324606050304")</f>
        <v>1064900324606050304</v>
      </c>
      <c r="F1193" s="12"/>
      <c r="G1193" s="12"/>
      <c r="H1193" s="12"/>
      <c r="I1193" s="13">
        <v>45</v>
      </c>
      <c r="J1193" s="13">
        <v>104</v>
      </c>
      <c r="K1193" s="14" t="str">
        <f t="shared" ref="K1193:K1194" si="216">HYPERLINK("http://twitter.com","Twitter Web Client")</f>
        <v>Twitter Web Client</v>
      </c>
      <c r="L1193" s="13">
        <v>21218</v>
      </c>
      <c r="M1193" s="13">
        <v>1195</v>
      </c>
      <c r="N1193" s="13">
        <v>178</v>
      </c>
      <c r="O1193" s="19" t="s">
        <v>74</v>
      </c>
      <c r="P1193" s="6">
        <v>41487.325925925928</v>
      </c>
      <c r="Q1193" s="12"/>
      <c r="R1193" s="16" t="s">
        <v>4256</v>
      </c>
      <c r="S1193" s="11" t="s">
        <v>4257</v>
      </c>
      <c r="T1193" s="12"/>
      <c r="U1193" s="10" t="str">
        <f>HYPERLINK("https://pbs.twimg.com/profile_images/430657794740457472/J8u4e-W3.jpeg","View")</f>
        <v>View</v>
      </c>
    </row>
    <row r="1194" spans="1:21" ht="40.799999999999997">
      <c r="A1194" s="6">
        <v>43424.300682870366</v>
      </c>
      <c r="B1194" s="7" t="str">
        <f>HYPERLINK("https://twitter.com/JavierLilloA","@JavierLilloA")</f>
        <v>@JavierLilloA</v>
      </c>
      <c r="C1194" s="8" t="s">
        <v>4336</v>
      </c>
      <c r="D1194" s="9" t="s">
        <v>4337</v>
      </c>
      <c r="E1194" s="10" t="str">
        <f>HYPERLINK("https://twitter.com/JavierLilloA/status/1064899413410308096","1064899413410308096")</f>
        <v>1064899413410308096</v>
      </c>
      <c r="F1194" s="11" t="s">
        <v>4338</v>
      </c>
      <c r="G1194" s="12"/>
      <c r="H1194" s="12"/>
      <c r="I1194" s="13">
        <v>0</v>
      </c>
      <c r="J1194" s="13">
        <v>0</v>
      </c>
      <c r="K1194" s="14" t="str">
        <f t="shared" si="216"/>
        <v>Twitter Web Client</v>
      </c>
      <c r="L1194" s="13">
        <v>946</v>
      </c>
      <c r="M1194" s="13">
        <v>1022</v>
      </c>
      <c r="N1194" s="13">
        <v>38</v>
      </c>
      <c r="O1194" s="15"/>
      <c r="P1194" s="6">
        <v>40576.510254629626</v>
      </c>
      <c r="Q1194" s="17" t="s">
        <v>4339</v>
      </c>
      <c r="R1194" s="16" t="s">
        <v>4340</v>
      </c>
      <c r="S1194" s="11" t="s">
        <v>4341</v>
      </c>
      <c r="T1194" s="12"/>
      <c r="U1194" s="10" t="str">
        <f>HYPERLINK("https://pbs.twimg.com/profile_images/1041298884281217030/nvhzCwJB.jpg","View")</f>
        <v>View</v>
      </c>
    </row>
    <row r="1195" spans="1:21" ht="40.799999999999997">
      <c r="A1195" s="6">
        <v>43424.300162037034</v>
      </c>
      <c r="B1195" s="7" t="str">
        <f>HYPERLINK("https://twitter.com/bfdzn","@bfdzn")</f>
        <v>@bfdzn</v>
      </c>
      <c r="C1195" s="8" t="s">
        <v>4342</v>
      </c>
      <c r="D1195" s="9" t="s">
        <v>4343</v>
      </c>
      <c r="E1195" s="10" t="str">
        <f>HYPERLINK("https://twitter.com/bfdzn/status/1064899222456143873","1064899222456143873")</f>
        <v>1064899222456143873</v>
      </c>
      <c r="F1195" s="12"/>
      <c r="G1195" s="12"/>
      <c r="H1195" s="12"/>
      <c r="I1195" s="13">
        <v>0</v>
      </c>
      <c r="J1195" s="13">
        <v>1</v>
      </c>
      <c r="K1195" s="14" t="str">
        <f>HYPERLINK("http://twitter.com/download/android","Twitter for Android")</f>
        <v>Twitter for Android</v>
      </c>
      <c r="L1195" s="13">
        <v>289</v>
      </c>
      <c r="M1195" s="13">
        <v>636</v>
      </c>
      <c r="N1195" s="13">
        <v>1</v>
      </c>
      <c r="O1195" s="15"/>
      <c r="P1195" s="6">
        <v>40521.199988425928</v>
      </c>
      <c r="Q1195" s="17" t="s">
        <v>76</v>
      </c>
      <c r="R1195" s="16" t="s">
        <v>4344</v>
      </c>
      <c r="S1195" s="11" t="s">
        <v>4345</v>
      </c>
      <c r="T1195" s="12"/>
      <c r="U1195" s="10" t="str">
        <f>HYPERLINK("https://pbs.twimg.com/profile_images/879815300513923072/PSfuqDhy.jpg","View")</f>
        <v>View</v>
      </c>
    </row>
    <row r="1196" spans="1:21" ht="40.799999999999997">
      <c r="A1196" s="6">
        <v>43424.298564814817</v>
      </c>
      <c r="B1196" s="7" t="str">
        <f>HYPERLINK("https://twitter.com/sansebastian_j","@sansebastian_j")</f>
        <v>@sansebastian_j</v>
      </c>
      <c r="C1196" s="8" t="s">
        <v>4076</v>
      </c>
      <c r="D1196" s="9" t="s">
        <v>4346</v>
      </c>
      <c r="E1196" s="10" t="str">
        <f>HYPERLINK("https://twitter.com/sansebastian_j/status/1064898645747740672","1064898645747740672")</f>
        <v>1064898645747740672</v>
      </c>
      <c r="F1196" s="11" t="s">
        <v>4347</v>
      </c>
      <c r="G1196" s="12"/>
      <c r="H1196" s="12"/>
      <c r="I1196" s="13">
        <v>2</v>
      </c>
      <c r="J1196" s="13">
        <v>1</v>
      </c>
      <c r="K1196" s="14" t="str">
        <f>HYPERLINK("http://twitter.com/#!/download/ipad","Twitter for iPad")</f>
        <v>Twitter for iPad</v>
      </c>
      <c r="L1196" s="13">
        <v>7153</v>
      </c>
      <c r="M1196" s="13">
        <v>4822</v>
      </c>
      <c r="N1196" s="13">
        <v>64</v>
      </c>
      <c r="O1196" s="15"/>
      <c r="P1196" s="6">
        <v>40858.706759259258</v>
      </c>
      <c r="Q1196" s="17" t="s">
        <v>29</v>
      </c>
      <c r="R1196" s="16" t="s">
        <v>4080</v>
      </c>
      <c r="S1196" s="11" t="s">
        <v>4082</v>
      </c>
      <c r="T1196" s="12"/>
      <c r="U1196" s="10" t="str">
        <f>HYPERLINK("https://pbs.twimg.com/profile_images/1064215417298870272/itzHAT27.jpg","View")</f>
        <v>View</v>
      </c>
    </row>
    <row r="1197" spans="1:21" ht="20.399999999999999">
      <c r="A1197" s="6">
        <v>43424.297430555554</v>
      </c>
      <c r="B1197" s="7" t="str">
        <f>HYPERLINK("https://twitter.com/alsajano","@alsajano")</f>
        <v>@alsajano</v>
      </c>
      <c r="C1197" s="8" t="s">
        <v>1616</v>
      </c>
      <c r="D1197" s="9" t="s">
        <v>4349</v>
      </c>
      <c r="E1197" s="10" t="str">
        <f>HYPERLINK("https://twitter.com/alsajano/status/1064898234638692353","1064898234638692353")</f>
        <v>1064898234638692353</v>
      </c>
      <c r="F1197" s="11" t="s">
        <v>4350</v>
      </c>
      <c r="G1197" s="12"/>
      <c r="H1197" s="12"/>
      <c r="I1197" s="13">
        <v>0</v>
      </c>
      <c r="J1197" s="13">
        <v>0</v>
      </c>
      <c r="K1197" s="14" t="str">
        <f>HYPERLINK("https://www.google.com/","Google")</f>
        <v>Google</v>
      </c>
      <c r="L1197" s="13">
        <v>506</v>
      </c>
      <c r="M1197" s="13">
        <v>378</v>
      </c>
      <c r="N1197" s="13">
        <v>44</v>
      </c>
      <c r="O1197" s="15"/>
      <c r="P1197" s="6">
        <v>41146.711053240739</v>
      </c>
      <c r="Q1197" s="17" t="s">
        <v>1619</v>
      </c>
      <c r="R1197" s="16" t="s">
        <v>1620</v>
      </c>
      <c r="S1197" s="12"/>
      <c r="T1197" s="12"/>
      <c r="U1197" s="10" t="str">
        <f>HYPERLINK("https://pbs.twimg.com/profile_images/936950684980842497/FVjca-ny.jpg","View")</f>
        <v>View</v>
      </c>
    </row>
    <row r="1198" spans="1:21" ht="102">
      <c r="A1198" s="6">
        <v>43424.296446759261</v>
      </c>
      <c r="B1198" s="7" t="str">
        <f>HYPERLINK("https://twitter.com/_Aitana_R","@_Aitana_R")</f>
        <v>@_Aitana_R</v>
      </c>
      <c r="C1198" s="8" t="s">
        <v>4354</v>
      </c>
      <c r="D1198" s="9" t="s">
        <v>4355</v>
      </c>
      <c r="E1198" s="10" t="str">
        <f>HYPERLINK("https://twitter.com/_Aitana_R/status/1064897877607100416","1064897877607100416")</f>
        <v>1064897877607100416</v>
      </c>
      <c r="F1198" s="11" t="s">
        <v>4356</v>
      </c>
      <c r="G1198" s="11" t="s">
        <v>4357</v>
      </c>
      <c r="H1198" s="12"/>
      <c r="I1198" s="13">
        <v>3</v>
      </c>
      <c r="J1198" s="13">
        <v>2</v>
      </c>
      <c r="K1198" s="14" t="str">
        <f>HYPERLINK("http://twitter.com/download/iphone","Twitter for iPhone")</f>
        <v>Twitter for iPhone</v>
      </c>
      <c r="L1198" s="13">
        <v>1120</v>
      </c>
      <c r="M1198" s="13">
        <v>960</v>
      </c>
      <c r="N1198" s="13">
        <v>11</v>
      </c>
      <c r="O1198" s="15"/>
      <c r="P1198" s="6">
        <v>42555.235312500001</v>
      </c>
      <c r="Q1198" s="12"/>
      <c r="R1198" s="18"/>
      <c r="S1198" s="12"/>
      <c r="T1198" s="12"/>
      <c r="U1198" s="10" t="str">
        <f>HYPERLINK("https://pbs.twimg.com/profile_images/972413193241972736/RxmG9tac.jpg","View")</f>
        <v>View</v>
      </c>
    </row>
    <row r="1199" spans="1:21" ht="20.399999999999999">
      <c r="A1199" s="6">
        <v>43424.292893518519</v>
      </c>
      <c r="B1199" s="7" t="str">
        <f>HYPERLINK("https://twitter.com/Comunase","@Comunase")</f>
        <v>@Comunase</v>
      </c>
      <c r="C1199" s="8" t="s">
        <v>4358</v>
      </c>
      <c r="D1199" s="9" t="s">
        <v>4359</v>
      </c>
      <c r="E1199" s="10" t="str">
        <f>HYPERLINK("https://twitter.com/Comunase/status/1064896589465116673","1064896589465116673")</f>
        <v>1064896589465116673</v>
      </c>
      <c r="F1199" s="12"/>
      <c r="G1199" s="12"/>
      <c r="H1199" s="12"/>
      <c r="I1199" s="13">
        <v>4</v>
      </c>
      <c r="J1199" s="13">
        <v>3</v>
      </c>
      <c r="K1199" s="14" t="str">
        <f t="shared" ref="K1199:K1201" si="217">HYPERLINK("http://twitter.com/download/android","Twitter for Android")</f>
        <v>Twitter for Android</v>
      </c>
      <c r="L1199" s="13">
        <v>14572</v>
      </c>
      <c r="M1199" s="13">
        <v>557</v>
      </c>
      <c r="N1199" s="13">
        <v>264</v>
      </c>
      <c r="O1199" s="15"/>
      <c r="P1199" s="6">
        <v>40893.450173611112</v>
      </c>
      <c r="Q1199" s="17" t="s">
        <v>4360</v>
      </c>
      <c r="R1199" s="16" t="s">
        <v>4361</v>
      </c>
      <c r="S1199" s="12"/>
      <c r="T1199" s="12"/>
      <c r="U1199" s="10" t="str">
        <f>HYPERLINK("https://pbs.twimg.com/profile_images/1057328994775953414/YcqO1jg-.jpg","View")</f>
        <v>View</v>
      </c>
    </row>
    <row r="1200" spans="1:21" ht="30.6">
      <c r="A1200" s="6">
        <v>43424.29184027778</v>
      </c>
      <c r="B1200" s="7" t="str">
        <f>HYPERLINK("https://twitter.com/daenerystargari","@daenerystargari")</f>
        <v>@daenerystargari</v>
      </c>
      <c r="C1200" s="8" t="s">
        <v>4362</v>
      </c>
      <c r="D1200" s="9" t="s">
        <v>3262</v>
      </c>
      <c r="E1200" s="10" t="str">
        <f>HYPERLINK("https://twitter.com/daenerystargari/status/1064896207934431233","1064896207934431233")</f>
        <v>1064896207934431233</v>
      </c>
      <c r="F1200" s="11" t="s">
        <v>3263</v>
      </c>
      <c r="G1200" s="12"/>
      <c r="H1200" s="12"/>
      <c r="I1200" s="13">
        <v>0</v>
      </c>
      <c r="J1200" s="13">
        <v>0</v>
      </c>
      <c r="K1200" s="14" t="str">
        <f t="shared" si="217"/>
        <v>Twitter for Android</v>
      </c>
      <c r="L1200" s="13">
        <v>40</v>
      </c>
      <c r="M1200" s="13">
        <v>109</v>
      </c>
      <c r="N1200" s="13">
        <v>0</v>
      </c>
      <c r="O1200" s="15"/>
      <c r="P1200" s="6">
        <v>42963.695775462962</v>
      </c>
      <c r="Q1200" s="17" t="s">
        <v>4363</v>
      </c>
      <c r="R1200" s="16" t="s">
        <v>4364</v>
      </c>
      <c r="S1200" s="12"/>
      <c r="T1200" s="12"/>
      <c r="U1200" s="10" t="str">
        <f>HYPERLINK("https://pbs.twimg.com/profile_images/915485353989066752/x4aqzVkL.jpg","View")</f>
        <v>View</v>
      </c>
    </row>
    <row r="1201" spans="1:21" ht="20.399999999999999">
      <c r="A1201" s="6">
        <v>43424.291493055556</v>
      </c>
      <c r="B1201" s="7" t="str">
        <f>HYPERLINK("https://twitter.com/AntGainos","@AntGainos")</f>
        <v>@AntGainos</v>
      </c>
      <c r="C1201" s="8" t="s">
        <v>3005</v>
      </c>
      <c r="D1201" s="9" t="s">
        <v>4365</v>
      </c>
      <c r="E1201" s="10" t="str">
        <f>HYPERLINK("https://twitter.com/AntGainos/status/1064896081362866176","1064896081362866176")</f>
        <v>1064896081362866176</v>
      </c>
      <c r="F1201" s="11" t="s">
        <v>4366</v>
      </c>
      <c r="G1201" s="12"/>
      <c r="H1201" s="12"/>
      <c r="I1201" s="13">
        <v>0</v>
      </c>
      <c r="J1201" s="13">
        <v>0</v>
      </c>
      <c r="K1201" s="14" t="str">
        <f t="shared" si="217"/>
        <v>Twitter for Android</v>
      </c>
      <c r="L1201" s="13">
        <v>547</v>
      </c>
      <c r="M1201" s="13">
        <v>553</v>
      </c>
      <c r="N1201" s="13">
        <v>9</v>
      </c>
      <c r="O1201" s="15"/>
      <c r="P1201" s="6">
        <v>40643.471689814818</v>
      </c>
      <c r="Q1201" s="17" t="s">
        <v>2270</v>
      </c>
      <c r="R1201" s="18"/>
      <c r="S1201" s="12"/>
      <c r="T1201" s="12"/>
      <c r="U1201" s="10" t="str">
        <f>HYPERLINK("https://pbs.twimg.com/profile_images/1034402549011542016/iBP_Fz3r.jpg","View")</f>
        <v>View</v>
      </c>
    </row>
    <row r="1202" spans="1:21" ht="40.799999999999997">
      <c r="A1202" s="6">
        <v>43424.286956018521</v>
      </c>
      <c r="B1202" s="7" t="str">
        <f>HYPERLINK("https://twitter.com/mariano9605","@mariano9605")</f>
        <v>@mariano9605</v>
      </c>
      <c r="C1202" s="8" t="s">
        <v>1680</v>
      </c>
      <c r="D1202" s="9" t="s">
        <v>4367</v>
      </c>
      <c r="E1202" s="10" t="str">
        <f>HYPERLINK("https://twitter.com/mariano9605/status/1064894437246058497","1064894437246058497")</f>
        <v>1064894437246058497</v>
      </c>
      <c r="F1202" s="11" t="s">
        <v>3118</v>
      </c>
      <c r="G1202" s="12"/>
      <c r="H1202" s="12"/>
      <c r="I1202" s="13">
        <v>3</v>
      </c>
      <c r="J1202" s="13">
        <v>3</v>
      </c>
      <c r="K1202" s="14" t="str">
        <f>HYPERLINK("http://twitter.com","Twitter Web Client")</f>
        <v>Twitter Web Client</v>
      </c>
      <c r="L1202" s="13">
        <v>56151</v>
      </c>
      <c r="M1202" s="13">
        <v>53995</v>
      </c>
      <c r="N1202" s="13">
        <v>303</v>
      </c>
      <c r="O1202" s="15"/>
      <c r="P1202" s="6">
        <v>40869.540659722225</v>
      </c>
      <c r="Q1202" s="17" t="s">
        <v>1682</v>
      </c>
      <c r="R1202" s="16" t="s">
        <v>1683</v>
      </c>
      <c r="S1202" s="12"/>
      <c r="T1202" s="12"/>
      <c r="U1202" s="10" t="str">
        <f>HYPERLINK("https://pbs.twimg.com/profile_images/427860629525757952/ohW7e5Pf.jpeg","View")</f>
        <v>View</v>
      </c>
    </row>
    <row r="1203" spans="1:21" ht="51">
      <c r="A1203" s="6">
        <v>43424.284398148149</v>
      </c>
      <c r="B1203" s="7" t="str">
        <f>HYPERLINK("https://twitter.com/Rous77377853","@Rous77377853")</f>
        <v>@Rous77377853</v>
      </c>
      <c r="C1203" s="8" t="s">
        <v>4368</v>
      </c>
      <c r="D1203" s="9" t="s">
        <v>4369</v>
      </c>
      <c r="E1203" s="10" t="str">
        <f>HYPERLINK("https://twitter.com/Rous77377853/status/1064893511949000704","1064893511949000704")</f>
        <v>1064893511949000704</v>
      </c>
      <c r="F1203" s="11" t="s">
        <v>3637</v>
      </c>
      <c r="G1203" s="12"/>
      <c r="H1203" s="12"/>
      <c r="I1203" s="13">
        <v>0</v>
      </c>
      <c r="J1203" s="13">
        <v>0</v>
      </c>
      <c r="K1203" s="14" t="str">
        <f t="shared" ref="K1203:K1204" si="218">HYPERLINK("http://twitter.com/download/android","Twitter for Android")</f>
        <v>Twitter for Android</v>
      </c>
      <c r="L1203" s="13">
        <v>1630</v>
      </c>
      <c r="M1203" s="13">
        <v>1606</v>
      </c>
      <c r="N1203" s="13">
        <v>6</v>
      </c>
      <c r="O1203" s="15"/>
      <c r="P1203" s="6">
        <v>42761.31040509259</v>
      </c>
      <c r="Q1203" s="12"/>
      <c r="R1203" s="16" t="s">
        <v>4370</v>
      </c>
      <c r="S1203" s="12"/>
      <c r="T1203" s="12"/>
      <c r="U1203" s="10" t="str">
        <f>HYPERLINK("https://pbs.twimg.com/profile_images/1033648984324227072/FGDdCYTJ.jpg","View")</f>
        <v>View</v>
      </c>
    </row>
    <row r="1204" spans="1:21" ht="30.6">
      <c r="A1204" s="6">
        <v>43424.281875000001</v>
      </c>
      <c r="B1204" s="7" t="str">
        <f>HYPERLINK("https://twitter.com/miserg02","@miserg02")</f>
        <v>@miserg02</v>
      </c>
      <c r="C1204" s="8" t="s">
        <v>4371</v>
      </c>
      <c r="D1204" s="9" t="s">
        <v>4372</v>
      </c>
      <c r="E1204" s="10" t="str">
        <f>HYPERLINK("https://twitter.com/miserg02/status/1064892598270218240","1064892598270218240")</f>
        <v>1064892598270218240</v>
      </c>
      <c r="F1204" s="12"/>
      <c r="G1204" s="12"/>
      <c r="H1204" s="12"/>
      <c r="I1204" s="13">
        <v>0</v>
      </c>
      <c r="J1204" s="13">
        <v>0</v>
      </c>
      <c r="K1204" s="14" t="str">
        <f t="shared" si="218"/>
        <v>Twitter for Android</v>
      </c>
      <c r="L1204" s="13">
        <v>288</v>
      </c>
      <c r="M1204" s="13">
        <v>308</v>
      </c>
      <c r="N1204" s="13">
        <v>9</v>
      </c>
      <c r="O1204" s="15"/>
      <c r="P1204" s="6">
        <v>41400.359490740739</v>
      </c>
      <c r="Q1204" s="12"/>
      <c r="R1204" s="16" t="s">
        <v>4373</v>
      </c>
      <c r="S1204" s="12"/>
      <c r="T1204" s="12"/>
      <c r="U1204" s="10" t="str">
        <f>HYPERLINK("https://pbs.twimg.com/profile_images/3622755407/6366265d5e5dfda681a2f160fe265a71.jpeg","View")</f>
        <v>View</v>
      </c>
    </row>
    <row r="1205" spans="1:21" ht="30.6">
      <c r="A1205" s="6">
        <v>43424.28025462963</v>
      </c>
      <c r="B1205" s="7" t="str">
        <f>HYPERLINK("https://twitter.com/fromeropaco","@fromeropaco")</f>
        <v>@fromeropaco</v>
      </c>
      <c r="C1205" s="8" t="s">
        <v>22</v>
      </c>
      <c r="D1205" s="9" t="s">
        <v>3630</v>
      </c>
      <c r="E1205" s="10" t="str">
        <f>HYPERLINK("https://twitter.com/fromeropaco/status/1064892008643227648","1064892008643227648")</f>
        <v>1064892008643227648</v>
      </c>
      <c r="F1205" s="11" t="s">
        <v>4374</v>
      </c>
      <c r="G1205" s="11" t="s">
        <v>4375</v>
      </c>
      <c r="H1205" s="12"/>
      <c r="I1205" s="13">
        <v>0</v>
      </c>
      <c r="J1205" s="13">
        <v>0</v>
      </c>
      <c r="K1205" s="14" t="str">
        <f>HYPERLINK("https://dlvrit.com/","dlvr.it")</f>
        <v>dlvr.it</v>
      </c>
      <c r="L1205" s="13">
        <v>123</v>
      </c>
      <c r="M1205" s="13">
        <v>372</v>
      </c>
      <c r="N1205" s="13">
        <v>2</v>
      </c>
      <c r="O1205" s="15"/>
      <c r="P1205" s="6">
        <v>42989.278564814813</v>
      </c>
      <c r="Q1205" s="17" t="s">
        <v>26</v>
      </c>
      <c r="R1205" s="16" t="s">
        <v>28</v>
      </c>
      <c r="S1205" s="12"/>
      <c r="T1205" s="12"/>
      <c r="U1205" s="10" t="str">
        <f>HYPERLINK("https://pbs.twimg.com/profile_images/931073900460564481/cvuLO-iT.jpg","View")</f>
        <v>View</v>
      </c>
    </row>
    <row r="1206" spans="1:21" ht="20.399999999999999">
      <c r="A1206" s="6">
        <v>43424.277499999997</v>
      </c>
      <c r="B1206" s="7" t="str">
        <f>HYPERLINK("https://twitter.com/javicoperlaza","@javicoperlaza")</f>
        <v>@javicoperlaza</v>
      </c>
      <c r="C1206" s="8" t="s">
        <v>4332</v>
      </c>
      <c r="D1206" s="9" t="s">
        <v>4333</v>
      </c>
      <c r="E1206" s="10" t="str">
        <f>HYPERLINK("https://twitter.com/javicoperlaza/status/1064891013091741696","1064891013091741696")</f>
        <v>1064891013091741696</v>
      </c>
      <c r="F1206" s="11" t="s">
        <v>4334</v>
      </c>
      <c r="G1206" s="12"/>
      <c r="H1206" s="12"/>
      <c r="I1206" s="13">
        <v>0</v>
      </c>
      <c r="J1206" s="13">
        <v>0</v>
      </c>
      <c r="K1206" s="14" t="str">
        <f>HYPERLINK("http://twitter.com/download/android","Twitter for Android")</f>
        <v>Twitter for Android</v>
      </c>
      <c r="L1206" s="13">
        <v>2690</v>
      </c>
      <c r="M1206" s="13">
        <v>2592</v>
      </c>
      <c r="N1206" s="13">
        <v>56</v>
      </c>
      <c r="O1206" s="15"/>
      <c r="P1206" s="6">
        <v>40927.380127314813</v>
      </c>
      <c r="Q1206" s="12"/>
      <c r="R1206" s="18"/>
      <c r="S1206" s="12"/>
      <c r="T1206" s="12"/>
      <c r="U1206" s="10" t="str">
        <f>HYPERLINK("https://pbs.twimg.com/profile_images/1061138533035970561/bByYfrah.jpg","View")</f>
        <v>View</v>
      </c>
    </row>
    <row r="1207" spans="1:21" ht="51">
      <c r="A1207" s="6">
        <v>43424.276655092588</v>
      </c>
      <c r="B1207" s="7" t="str">
        <f>HYPERLINK("https://twitter.com/Sgt_Pepperss","@Sgt_Pepperss")</f>
        <v>@Sgt_Pepperss</v>
      </c>
      <c r="C1207" s="8" t="s">
        <v>4376</v>
      </c>
      <c r="D1207" s="9" t="s">
        <v>4377</v>
      </c>
      <c r="E1207" s="10" t="str">
        <f>HYPERLINK("https://twitter.com/Sgt_Pepperss/status/1064890706400067584","1064890706400067584")</f>
        <v>1064890706400067584</v>
      </c>
      <c r="F1207" s="11" t="s">
        <v>4378</v>
      </c>
      <c r="G1207" s="12"/>
      <c r="H1207" s="12"/>
      <c r="I1207" s="13">
        <v>0</v>
      </c>
      <c r="J1207" s="13">
        <v>0</v>
      </c>
      <c r="K1207" s="14" t="str">
        <f>HYPERLINK("http://twitter.com","Twitter Web Client")</f>
        <v>Twitter Web Client</v>
      </c>
      <c r="L1207" s="13">
        <v>1021</v>
      </c>
      <c r="M1207" s="13">
        <v>1004</v>
      </c>
      <c r="N1207" s="13">
        <v>24</v>
      </c>
      <c r="O1207" s="15"/>
      <c r="P1207" s="6">
        <v>41731.429120370369</v>
      </c>
      <c r="Q1207" s="17" t="s">
        <v>268</v>
      </c>
      <c r="R1207" s="16" t="s">
        <v>4379</v>
      </c>
      <c r="S1207" s="12"/>
      <c r="T1207" s="12"/>
      <c r="U1207" s="10" t="str">
        <f>HYPERLINK("https://pbs.twimg.com/profile_images/668573603055722496/rueNp44x.jpg","View")</f>
        <v>View</v>
      </c>
    </row>
    <row r="1208" spans="1:21" ht="30.6">
      <c r="A1208" s="6">
        <v>43424.273472222223</v>
      </c>
      <c r="B1208" s="7" t="str">
        <f>HYPERLINK("https://twitter.com/JMBoneu_","@JMBoneu_")</f>
        <v>@JMBoneu_</v>
      </c>
      <c r="C1208" s="8" t="s">
        <v>4380</v>
      </c>
      <c r="D1208" s="9" t="s">
        <v>4381</v>
      </c>
      <c r="E1208" s="10" t="str">
        <f>HYPERLINK("https://twitter.com/JMBoneu_/status/1064889552928681984","1064889552928681984")</f>
        <v>1064889552928681984</v>
      </c>
      <c r="F1208" s="11" t="s">
        <v>3633</v>
      </c>
      <c r="G1208" s="12"/>
      <c r="H1208" s="12"/>
      <c r="I1208" s="13">
        <v>10</v>
      </c>
      <c r="J1208" s="13">
        <v>8</v>
      </c>
      <c r="K1208" s="14" t="str">
        <f t="shared" ref="K1208:K1209" si="219">HYPERLINK("http://twitter.com/download/android","Twitter for Android")</f>
        <v>Twitter for Android</v>
      </c>
      <c r="L1208" s="13">
        <v>9733</v>
      </c>
      <c r="M1208" s="13">
        <v>9178</v>
      </c>
      <c r="N1208" s="13">
        <v>113</v>
      </c>
      <c r="O1208" s="15"/>
      <c r="P1208" s="6">
        <v>41921.214212962965</v>
      </c>
      <c r="Q1208" s="17" t="s">
        <v>4382</v>
      </c>
      <c r="R1208" s="16" t="s">
        <v>4383</v>
      </c>
      <c r="S1208" s="12"/>
      <c r="T1208" s="12"/>
      <c r="U1208" s="10" t="str">
        <f>HYPERLINK("https://pbs.twimg.com/profile_images/910430518008778753/NGgiYegS.jpg","View")</f>
        <v>View</v>
      </c>
    </row>
    <row r="1209" spans="1:21" ht="51">
      <c r="A1209" s="6">
        <v>43424.272314814814</v>
      </c>
      <c r="B1209" s="7" t="str">
        <f>HYPERLINK("https://twitter.com/GuillemCristo","@GuillemCristo")</f>
        <v>@GuillemCristo</v>
      </c>
      <c r="C1209" s="8" t="s">
        <v>453</v>
      </c>
      <c r="D1209" s="9" t="s">
        <v>4384</v>
      </c>
      <c r="E1209" s="10" t="str">
        <f>HYPERLINK("https://twitter.com/GuillemCristo/status/1064889132630061056","1064889132630061056")</f>
        <v>1064889132630061056</v>
      </c>
      <c r="F1209" s="11" t="s">
        <v>4018</v>
      </c>
      <c r="G1209" s="12"/>
      <c r="H1209" s="12"/>
      <c r="I1209" s="13">
        <v>132</v>
      </c>
      <c r="J1209" s="13">
        <v>104</v>
      </c>
      <c r="K1209" s="14" t="str">
        <f t="shared" si="219"/>
        <v>Twitter for Android</v>
      </c>
      <c r="L1209" s="13">
        <v>1507</v>
      </c>
      <c r="M1209" s="13">
        <v>2331</v>
      </c>
      <c r="N1209" s="13">
        <v>1</v>
      </c>
      <c r="O1209" s="15"/>
      <c r="P1209" s="6">
        <v>40729.143969907411</v>
      </c>
      <c r="Q1209" s="17" t="s">
        <v>456</v>
      </c>
      <c r="R1209" s="16" t="s">
        <v>457</v>
      </c>
      <c r="S1209" s="12"/>
      <c r="T1209" s="12"/>
      <c r="U1209" s="10" t="str">
        <f>HYPERLINK("https://pbs.twimg.com/profile_images/1057745164498862096/igUG5UPt.jpg","View")</f>
        <v>View</v>
      </c>
    </row>
    <row r="1210" spans="1:21" ht="20.399999999999999">
      <c r="A1210" s="6">
        <v>43424.26871527778</v>
      </c>
      <c r="B1210" s="7" t="str">
        <f>HYPERLINK("https://twitter.com/PatriciaTouche","@PatriciaTouche")</f>
        <v>@PatriciaTouche</v>
      </c>
      <c r="C1210" s="8" t="s">
        <v>4385</v>
      </c>
      <c r="D1210" s="9" t="s">
        <v>4386</v>
      </c>
      <c r="E1210" s="10" t="str">
        <f>HYPERLINK("https://twitter.com/PatriciaTouche/status/1064887828386103296","1064887828386103296")</f>
        <v>1064887828386103296</v>
      </c>
      <c r="F1210" s="12"/>
      <c r="G1210" s="11" t="s">
        <v>4387</v>
      </c>
      <c r="H1210" s="12"/>
      <c r="I1210" s="13">
        <v>0</v>
      </c>
      <c r="J1210" s="13">
        <v>0</v>
      </c>
      <c r="K1210" s="14" t="str">
        <f t="shared" ref="K1210:K1211" si="220">HYPERLINK("http://twitter.com","Twitter Web Client")</f>
        <v>Twitter Web Client</v>
      </c>
      <c r="L1210" s="13">
        <v>8750</v>
      </c>
      <c r="M1210" s="13">
        <v>6566</v>
      </c>
      <c r="N1210" s="13">
        <v>62</v>
      </c>
      <c r="O1210" s="15"/>
      <c r="P1210" s="6">
        <v>40133.332627314812</v>
      </c>
      <c r="Q1210" s="12"/>
      <c r="R1210" s="16" t="s">
        <v>4388</v>
      </c>
      <c r="S1210" s="12"/>
      <c r="T1210" s="12"/>
      <c r="U1210" s="10" t="str">
        <f>HYPERLINK("https://pbs.twimg.com/profile_images/3172119199/8335d011f8d7d51b58760ccb98941851.jpeg","View")</f>
        <v>View</v>
      </c>
    </row>
    <row r="1211" spans="1:21" ht="20.399999999999999">
      <c r="A1211" s="6">
        <v>43424.267060185186</v>
      </c>
      <c r="B1211" s="7" t="str">
        <f>HYPERLINK("https://twitter.com/omar_gallego","@omar_gallego")</f>
        <v>@omar_gallego</v>
      </c>
      <c r="C1211" s="8" t="s">
        <v>4389</v>
      </c>
      <c r="D1211" s="9" t="s">
        <v>4390</v>
      </c>
      <c r="E1211" s="10" t="str">
        <f>HYPERLINK("https://twitter.com/omar_gallego/status/1064887230085369858","1064887230085369858")</f>
        <v>1064887230085369858</v>
      </c>
      <c r="F1211" s="11" t="s">
        <v>3637</v>
      </c>
      <c r="G1211" s="12"/>
      <c r="H1211" s="12"/>
      <c r="I1211" s="13">
        <v>0</v>
      </c>
      <c r="J1211" s="13">
        <v>0</v>
      </c>
      <c r="K1211" s="14" t="str">
        <f t="shared" si="220"/>
        <v>Twitter Web Client</v>
      </c>
      <c r="L1211" s="13">
        <v>565</v>
      </c>
      <c r="M1211" s="13">
        <v>2088</v>
      </c>
      <c r="N1211" s="13">
        <v>4</v>
      </c>
      <c r="O1211" s="15"/>
      <c r="P1211" s="6">
        <v>40855.440196759257</v>
      </c>
      <c r="Q1211" s="17" t="s">
        <v>4391</v>
      </c>
      <c r="R1211" s="16" t="s">
        <v>4392</v>
      </c>
      <c r="S1211" s="12"/>
      <c r="T1211" s="12"/>
      <c r="U1211" s="10" t="str">
        <f>HYPERLINK("https://pbs.twimg.com/profile_images/653240007818375168/uL2mhJ4G.jpg","View")</f>
        <v>View</v>
      </c>
    </row>
    <row r="1212" spans="1:21" ht="40.799999999999997">
      <c r="A1212" s="6">
        <v>43424.266666666663</v>
      </c>
      <c r="B1212" s="7" t="str">
        <f>HYPERLINK("https://twitter.com/anvicorru","@anvicorru")</f>
        <v>@anvicorru</v>
      </c>
      <c r="C1212" s="8" t="s">
        <v>3005</v>
      </c>
      <c r="D1212" s="9" t="s">
        <v>4393</v>
      </c>
      <c r="E1212" s="10" t="str">
        <f>HYPERLINK("https://twitter.com/anvicorru/status/1064887087340679176","1064887087340679176")</f>
        <v>1064887087340679176</v>
      </c>
      <c r="F1212" s="12"/>
      <c r="G1212" s="12"/>
      <c r="H1212" s="12"/>
      <c r="I1212" s="13">
        <v>0</v>
      </c>
      <c r="J1212" s="13">
        <v>0</v>
      </c>
      <c r="K1212" s="14" t="str">
        <f>HYPERLINK("http://twitter.com/#!/download/ipad","Twitter for iPad")</f>
        <v>Twitter for iPad</v>
      </c>
      <c r="L1212" s="13">
        <v>28</v>
      </c>
      <c r="M1212" s="13">
        <v>19</v>
      </c>
      <c r="N1212" s="13">
        <v>1</v>
      </c>
      <c r="O1212" s="15"/>
      <c r="P1212" s="6">
        <v>41630.607534722221</v>
      </c>
      <c r="Q1212" s="12"/>
      <c r="R1212" s="16" t="s">
        <v>4394</v>
      </c>
      <c r="S1212" s="12"/>
      <c r="T1212" s="12"/>
      <c r="U1212" s="10" t="str">
        <f>HYPERLINK("https://pbs.twimg.com/profile_images/579317560505737216/AVvQRs8q.png","View")</f>
        <v>View</v>
      </c>
    </row>
    <row r="1213" spans="1:21" ht="20.399999999999999">
      <c r="A1213" s="6">
        <v>43424.264351851853</v>
      </c>
      <c r="B1213" s="7" t="str">
        <f>HYPERLINK("https://twitter.com/ATCoco2017","@ATCoco2017")</f>
        <v>@ATCoco2017</v>
      </c>
      <c r="C1213" s="8" t="s">
        <v>4395</v>
      </c>
      <c r="D1213" s="9" t="s">
        <v>4396</v>
      </c>
      <c r="E1213" s="10" t="str">
        <f>HYPERLINK("https://twitter.com/ATCoco2017/status/1064886246516957184","1064886246516957184")</f>
        <v>1064886246516957184</v>
      </c>
      <c r="F1213" s="11" t="s">
        <v>4397</v>
      </c>
      <c r="G1213" s="12"/>
      <c r="H1213" s="12"/>
      <c r="I1213" s="13">
        <v>0</v>
      </c>
      <c r="J1213" s="13">
        <v>0</v>
      </c>
      <c r="K1213" s="14" t="str">
        <f>HYPERLINK("http://twitter.com/download/iphone","Twitter for iPhone")</f>
        <v>Twitter for iPhone</v>
      </c>
      <c r="L1213" s="13">
        <v>317</v>
      </c>
      <c r="M1213" s="13">
        <v>83</v>
      </c>
      <c r="N1213" s="13">
        <v>2</v>
      </c>
      <c r="O1213" s="15"/>
      <c r="P1213" s="6">
        <v>43011.986898148149</v>
      </c>
      <c r="Q1213" s="17" t="s">
        <v>3858</v>
      </c>
      <c r="R1213" s="18"/>
      <c r="S1213" s="12"/>
      <c r="T1213" s="12"/>
      <c r="U1213" s="10" t="str">
        <f>HYPERLINK("https://pbs.twimg.com/profile_images/953191161405026304/WmZYMXL5.jpg","View")</f>
        <v>View</v>
      </c>
    </row>
    <row r="1214" spans="1:21" ht="20.399999999999999">
      <c r="A1214" s="6">
        <v>43424.26081018518</v>
      </c>
      <c r="B1214" s="7" t="str">
        <f>HYPERLINK("https://twitter.com/JessyBrunos","@JessyBrunos")</f>
        <v>@JessyBrunos</v>
      </c>
      <c r="C1214" s="8" t="s">
        <v>4398</v>
      </c>
      <c r="D1214" s="9" t="s">
        <v>4399</v>
      </c>
      <c r="E1214" s="10" t="str">
        <f>HYPERLINK("https://twitter.com/JessyBrunos/status/1064884965001887745","1064884965001887745")</f>
        <v>1064884965001887745</v>
      </c>
      <c r="F1214" s="11" t="s">
        <v>4400</v>
      </c>
      <c r="G1214" s="12"/>
      <c r="H1214" s="12"/>
      <c r="I1214" s="13">
        <v>0</v>
      </c>
      <c r="J1214" s="13">
        <v>0</v>
      </c>
      <c r="K1214" s="14" t="str">
        <f>HYPERLINK("https://ifttt.com","IFTTT")</f>
        <v>IFTTT</v>
      </c>
      <c r="L1214" s="13">
        <v>1291</v>
      </c>
      <c r="M1214" s="13">
        <v>4</v>
      </c>
      <c r="N1214" s="13">
        <v>64</v>
      </c>
      <c r="O1214" s="15"/>
      <c r="P1214" s="6">
        <v>41883.248159722221</v>
      </c>
      <c r="Q1214" s="17" t="s">
        <v>76</v>
      </c>
      <c r="R1214" s="16" t="s">
        <v>4401</v>
      </c>
      <c r="S1214" s="12"/>
      <c r="T1214" s="12"/>
      <c r="U1214" s="10" t="str">
        <f>HYPERLINK("https://pbs.twimg.com/profile_images/506426079444086784/Z_tVo-k9.jpeg","View")</f>
        <v>View</v>
      </c>
    </row>
    <row r="1215" spans="1:21" ht="20.399999999999999">
      <c r="A1215" s="6">
        <v>43424.257905092592</v>
      </c>
      <c r="B1215" s="7" t="str">
        <f>HYPERLINK("https://twitter.com/ensata","@ensata")</f>
        <v>@ensata</v>
      </c>
      <c r="C1215" s="8" t="s">
        <v>4402</v>
      </c>
      <c r="D1215" s="9" t="s">
        <v>4403</v>
      </c>
      <c r="E1215" s="10" t="str">
        <f>HYPERLINK("https://twitter.com/ensata/status/1064883909366898688","1064883909366898688")</f>
        <v>1064883909366898688</v>
      </c>
      <c r="F1215" s="12"/>
      <c r="G1215" s="11" t="s">
        <v>4404</v>
      </c>
      <c r="H1215" s="12"/>
      <c r="I1215" s="13">
        <v>4</v>
      </c>
      <c r="J1215" s="13">
        <v>1</v>
      </c>
      <c r="K1215" s="14" t="str">
        <f t="shared" ref="K1215:K1217" si="221">HYPERLINK("http://twitter.com","Twitter Web Client")</f>
        <v>Twitter Web Client</v>
      </c>
      <c r="L1215" s="13">
        <v>14324</v>
      </c>
      <c r="M1215" s="13">
        <v>13349</v>
      </c>
      <c r="N1215" s="13">
        <v>152</v>
      </c>
      <c r="O1215" s="15"/>
      <c r="P1215" s="6">
        <v>39908.113946759258</v>
      </c>
      <c r="Q1215" s="17" t="s">
        <v>4405</v>
      </c>
      <c r="R1215" s="16" t="s">
        <v>4406</v>
      </c>
      <c r="S1215" s="11" t="s">
        <v>4407</v>
      </c>
      <c r="T1215" s="12"/>
      <c r="U1215" s="10" t="str">
        <f>HYPERLINK("https://pbs.twimg.com/profile_images/2791683192/4237c175fd0e3a07d1b5a37bbebf41ab.jpeg","View")</f>
        <v>View</v>
      </c>
    </row>
    <row r="1216" spans="1:21" ht="20.399999999999999">
      <c r="A1216" s="6">
        <v>43424.256666666668</v>
      </c>
      <c r="B1216" s="7" t="str">
        <f>HYPERLINK("https://twitter.com/SpazianiG","@SpazianiG")</f>
        <v>@SpazianiG</v>
      </c>
      <c r="C1216" s="8" t="s">
        <v>3532</v>
      </c>
      <c r="D1216" s="9" t="s">
        <v>4408</v>
      </c>
      <c r="E1216" s="10" t="str">
        <f>HYPERLINK("https://twitter.com/SpazianiG/status/1064883460945399808","1064883460945399808")</f>
        <v>1064883460945399808</v>
      </c>
      <c r="F1216" s="11" t="s">
        <v>4409</v>
      </c>
      <c r="G1216" s="12"/>
      <c r="H1216" s="12"/>
      <c r="I1216" s="13">
        <v>0</v>
      </c>
      <c r="J1216" s="13">
        <v>0</v>
      </c>
      <c r="K1216" s="14" t="str">
        <f t="shared" si="221"/>
        <v>Twitter Web Client</v>
      </c>
      <c r="L1216" s="13">
        <v>2697</v>
      </c>
      <c r="M1216" s="13">
        <v>2449</v>
      </c>
      <c r="N1216" s="13">
        <v>72</v>
      </c>
      <c r="O1216" s="15"/>
      <c r="P1216" s="6">
        <v>40869.496562500004</v>
      </c>
      <c r="Q1216" s="17" t="s">
        <v>405</v>
      </c>
      <c r="R1216" s="16" t="s">
        <v>3535</v>
      </c>
      <c r="S1216" s="12"/>
      <c r="T1216" s="12"/>
      <c r="U1216" s="10" t="str">
        <f>HYPERLINK("https://pbs.twimg.com/profile_images/2397944309/qs6m1fbws67nyskcpe1v.jpeg","View")</f>
        <v>View</v>
      </c>
    </row>
    <row r="1217" spans="1:21" ht="51">
      <c r="A1217" s="6">
        <v>43424.256111111114</v>
      </c>
      <c r="B1217" s="7" t="str">
        <f>HYPERLINK("https://twitter.com/Esparroqui","@Esparroqui")</f>
        <v>@Esparroqui</v>
      </c>
      <c r="C1217" s="8" t="s">
        <v>4348</v>
      </c>
      <c r="D1217" s="9" t="s">
        <v>4410</v>
      </c>
      <c r="E1217" s="10" t="str">
        <f>HYPERLINK("https://twitter.com/Esparroqui/status/1064883260277297154","1064883260277297154")</f>
        <v>1064883260277297154</v>
      </c>
      <c r="F1217" s="12"/>
      <c r="G1217" s="11" t="s">
        <v>4411</v>
      </c>
      <c r="H1217" s="12"/>
      <c r="I1217" s="13">
        <v>6</v>
      </c>
      <c r="J1217" s="13">
        <v>2</v>
      </c>
      <c r="K1217" s="14" t="str">
        <f t="shared" si="221"/>
        <v>Twitter Web Client</v>
      </c>
      <c r="L1217" s="13">
        <v>46540</v>
      </c>
      <c r="M1217" s="13">
        <v>19062</v>
      </c>
      <c r="N1217" s="13">
        <v>316</v>
      </c>
      <c r="O1217" s="15"/>
      <c r="P1217" s="6">
        <v>40877.325613425928</v>
      </c>
      <c r="Q1217" s="17" t="s">
        <v>4351</v>
      </c>
      <c r="R1217" s="16" t="s">
        <v>4352</v>
      </c>
      <c r="S1217" s="11" t="s">
        <v>4353</v>
      </c>
      <c r="T1217" s="12"/>
      <c r="U1217" s="10" t="str">
        <f>HYPERLINK("https://pbs.twimg.com/profile_images/1017537354955882497/9PtegggA.jpg","View")</f>
        <v>View</v>
      </c>
    </row>
    <row r="1218" spans="1:21" ht="20.399999999999999">
      <c r="A1218" s="6">
        <v>43424.255208333328</v>
      </c>
      <c r="B1218" s="7" t="str">
        <f>HYPERLINK("https://twitter.com/DaysOfLiberty","@DaysOfLiberty")</f>
        <v>@DaysOfLiberty</v>
      </c>
      <c r="C1218" s="8" t="s">
        <v>4412</v>
      </c>
      <c r="D1218" s="9" t="s">
        <v>4413</v>
      </c>
      <c r="E1218" s="10" t="str">
        <f>HYPERLINK("https://twitter.com/DaysOfLiberty/status/1064882932890943490","1064882932890943490")</f>
        <v>1064882932890943490</v>
      </c>
      <c r="F1218" s="12"/>
      <c r="G1218" s="12"/>
      <c r="H1218" s="12"/>
      <c r="I1218" s="13">
        <v>0</v>
      </c>
      <c r="J1218" s="13">
        <v>3</v>
      </c>
      <c r="K1218" s="14" t="str">
        <f>HYPERLINK("http://twitter.com/download/android","Twitter for Android")</f>
        <v>Twitter for Android</v>
      </c>
      <c r="L1218" s="13">
        <v>293</v>
      </c>
      <c r="M1218" s="13">
        <v>300</v>
      </c>
      <c r="N1218" s="13">
        <v>1</v>
      </c>
      <c r="O1218" s="15"/>
      <c r="P1218" s="6">
        <v>41895.298993055556</v>
      </c>
      <c r="Q1218" s="12"/>
      <c r="R1218" s="16" t="s">
        <v>4415</v>
      </c>
      <c r="S1218" s="11" t="s">
        <v>4416</v>
      </c>
      <c r="T1218" s="12"/>
      <c r="U1218" s="10" t="str">
        <f>HYPERLINK("https://pbs.twimg.com/profile_images/822568768899600384/sPNowFZ0.jpg","View")</f>
        <v>View</v>
      </c>
    </row>
    <row r="1219" spans="1:21" ht="20.399999999999999">
      <c r="A1219" s="6">
        <v>43424.254317129627</v>
      </c>
      <c r="B1219" s="7" t="str">
        <f>HYPERLINK("https://twitter.com/jovenandaluz","@jovenandaluz")</f>
        <v>@jovenandaluz</v>
      </c>
      <c r="C1219" s="8" t="s">
        <v>4417</v>
      </c>
      <c r="D1219" s="9" t="s">
        <v>4418</v>
      </c>
      <c r="E1219" s="10" t="str">
        <f>HYPERLINK("https://twitter.com/jovenandaluz/status/1064882612227981312","1064882612227981312")</f>
        <v>1064882612227981312</v>
      </c>
      <c r="F1219" s="11" t="s">
        <v>3031</v>
      </c>
      <c r="G1219" s="12"/>
      <c r="H1219" s="12"/>
      <c r="I1219" s="13">
        <v>0</v>
      </c>
      <c r="J1219" s="13">
        <v>0</v>
      </c>
      <c r="K1219" s="14" t="str">
        <f t="shared" ref="K1219:K1220" si="222">HYPERLINK("http://twitter.com","Twitter Web Client")</f>
        <v>Twitter Web Client</v>
      </c>
      <c r="L1219" s="13">
        <v>2552</v>
      </c>
      <c r="M1219" s="13">
        <v>2583</v>
      </c>
      <c r="N1219" s="13">
        <v>11</v>
      </c>
      <c r="O1219" s="15"/>
      <c r="P1219" s="6">
        <v>41374.602905092594</v>
      </c>
      <c r="Q1219" s="12"/>
      <c r="R1219" s="16" t="s">
        <v>4421</v>
      </c>
      <c r="S1219" s="12"/>
      <c r="T1219" s="12"/>
      <c r="U1219" s="10" t="str">
        <f>HYPERLINK("https://pbs.twimg.com/profile_images/925604270266777601/iLksBSPw.jpg","View")</f>
        <v>View</v>
      </c>
    </row>
    <row r="1220" spans="1:21" ht="51">
      <c r="A1220" s="6">
        <v>43424.253946759258</v>
      </c>
      <c r="B1220" s="7" t="str">
        <f>HYPERLINK("https://twitter.com/AlonsoLanzos","@AlonsoLanzos")</f>
        <v>@AlonsoLanzos</v>
      </c>
      <c r="C1220" s="8" t="s">
        <v>2106</v>
      </c>
      <c r="D1220" s="9" t="s">
        <v>4422</v>
      </c>
      <c r="E1220" s="10" t="str">
        <f>HYPERLINK("https://twitter.com/AlonsoLanzos/status/1064882475594366976","1064882475594366976")</f>
        <v>1064882475594366976</v>
      </c>
      <c r="F1220" s="12"/>
      <c r="G1220" s="12"/>
      <c r="H1220" s="12"/>
      <c r="I1220" s="13">
        <v>2</v>
      </c>
      <c r="J1220" s="13">
        <v>2</v>
      </c>
      <c r="K1220" s="14" t="str">
        <f t="shared" si="222"/>
        <v>Twitter Web Client</v>
      </c>
      <c r="L1220" s="13">
        <v>274</v>
      </c>
      <c r="M1220" s="13">
        <v>188</v>
      </c>
      <c r="N1220" s="13">
        <v>2</v>
      </c>
      <c r="O1220" s="15"/>
      <c r="P1220" s="6">
        <v>39900.210115740745</v>
      </c>
      <c r="Q1220" s="17" t="s">
        <v>1739</v>
      </c>
      <c r="R1220" s="16" t="s">
        <v>2108</v>
      </c>
      <c r="S1220" s="12"/>
      <c r="T1220" s="12"/>
      <c r="U1220" s="10" t="str">
        <f>HYPERLINK("https://pbs.twimg.com/profile_images/1060133073000501249/OQt8_-lw.jpg","View")</f>
        <v>View</v>
      </c>
    </row>
    <row r="1221" spans="1:21" ht="30.6">
      <c r="A1221" s="6">
        <v>43424.25371527778</v>
      </c>
      <c r="B1221" s="7" t="str">
        <f>HYPERLINK("https://twitter.com/jcano95","@jcano95")</f>
        <v>@jcano95</v>
      </c>
      <c r="C1221" s="8" t="s">
        <v>4423</v>
      </c>
      <c r="D1221" s="9" t="s">
        <v>4424</v>
      </c>
      <c r="E1221" s="10" t="str">
        <f>HYPERLINK("https://twitter.com/jcano95/status/1064882394027692032","1064882394027692032")</f>
        <v>1064882394027692032</v>
      </c>
      <c r="F1221" s="12"/>
      <c r="G1221" s="12"/>
      <c r="H1221" s="12"/>
      <c r="I1221" s="13">
        <v>0</v>
      </c>
      <c r="J1221" s="13">
        <v>0</v>
      </c>
      <c r="K1221" s="14" t="str">
        <f>HYPERLINK("http://twitter.com/download/android","Twitter for Android")</f>
        <v>Twitter for Android</v>
      </c>
      <c r="L1221" s="13">
        <v>42</v>
      </c>
      <c r="M1221" s="13">
        <v>56</v>
      </c>
      <c r="N1221" s="13">
        <v>1</v>
      </c>
      <c r="O1221" s="15"/>
      <c r="P1221" s="6">
        <v>40443.206504629634</v>
      </c>
      <c r="Q1221" s="12"/>
      <c r="R1221" s="16" t="s">
        <v>4425</v>
      </c>
      <c r="S1221" s="12"/>
      <c r="T1221" s="12"/>
      <c r="U1221" s="10" t="str">
        <f>HYPERLINK("https://pbs.twimg.com/profile_images/1063077825740189696/5C0-Jc8c.jpg","View")</f>
        <v>View</v>
      </c>
    </row>
    <row r="1222" spans="1:21" ht="40.799999999999997">
      <c r="A1222" s="6">
        <v>43424.245520833334</v>
      </c>
      <c r="B1222" s="7" t="str">
        <f>HYPERLINK("https://twitter.com/dickie825","@dickie825")</f>
        <v>@dickie825</v>
      </c>
      <c r="C1222" s="8" t="s">
        <v>3870</v>
      </c>
      <c r="D1222" s="9" t="s">
        <v>3871</v>
      </c>
      <c r="E1222" s="10" t="str">
        <f>HYPERLINK("https://twitter.com/dickie825/status/1064879424573599744","1064879424573599744")</f>
        <v>1064879424573599744</v>
      </c>
      <c r="F1222" s="11" t="s">
        <v>4426</v>
      </c>
      <c r="G1222" s="11" t="s">
        <v>4427</v>
      </c>
      <c r="H1222" s="12"/>
      <c r="I1222" s="13">
        <v>0</v>
      </c>
      <c r="J1222" s="13">
        <v>0</v>
      </c>
      <c r="K1222" s="14" t="str">
        <f>HYPERLINK("https://dlvrit.com/","dlvr.it")</f>
        <v>dlvr.it</v>
      </c>
      <c r="L1222" s="13">
        <v>3462</v>
      </c>
      <c r="M1222" s="13">
        <v>2367</v>
      </c>
      <c r="N1222" s="13">
        <v>23</v>
      </c>
      <c r="O1222" s="15"/>
      <c r="P1222" s="6">
        <v>41702.551354166666</v>
      </c>
      <c r="Q1222" s="17" t="s">
        <v>3875</v>
      </c>
      <c r="R1222" s="16" t="s">
        <v>3876</v>
      </c>
      <c r="S1222" s="11" t="s">
        <v>3878</v>
      </c>
      <c r="T1222" s="12"/>
      <c r="U1222" s="10" t="str">
        <f>HYPERLINK("https://pbs.twimg.com/profile_images/462982799574581250/pOhVVnh8.png","View")</f>
        <v>View</v>
      </c>
    </row>
    <row r="1223" spans="1:21" ht="20.399999999999999">
      <c r="A1223" s="6">
        <v>43424.245381944449</v>
      </c>
      <c r="B1223" s="7" t="str">
        <f>HYPERLINK("https://twitter.com/flikxxi","@flikxxi")</f>
        <v>@flikxxi</v>
      </c>
      <c r="C1223" s="8" t="s">
        <v>4428</v>
      </c>
      <c r="D1223" s="9" t="s">
        <v>4429</v>
      </c>
      <c r="E1223" s="10" t="str">
        <f>HYPERLINK("https://twitter.com/flikxxi/status/1064879374154063873","1064879374154063873")</f>
        <v>1064879374154063873</v>
      </c>
      <c r="F1223" s="17" t="s">
        <v>4430</v>
      </c>
      <c r="G1223" s="12"/>
      <c r="H1223" s="12"/>
      <c r="I1223" s="13">
        <v>0</v>
      </c>
      <c r="J1223" s="13">
        <v>0</v>
      </c>
      <c r="K1223" s="14" t="str">
        <f>HYPERLINK("http://www.redninjastudio.com","Talk Text")</f>
        <v>Talk Text</v>
      </c>
      <c r="L1223" s="13">
        <v>170</v>
      </c>
      <c r="M1223" s="13">
        <v>120</v>
      </c>
      <c r="N1223" s="13">
        <v>45</v>
      </c>
      <c r="O1223" s="15"/>
      <c r="P1223" s="6">
        <v>39784.61215277778</v>
      </c>
      <c r="Q1223" s="17" t="s">
        <v>4431</v>
      </c>
      <c r="R1223" s="16" t="s">
        <v>4432</v>
      </c>
      <c r="S1223" s="11" t="s">
        <v>4433</v>
      </c>
      <c r="T1223" s="12"/>
      <c r="U1223" s="10" t="str">
        <f>HYPERLINK("https://pbs.twimg.com/profile_images/673435094707789824/iUzS1Xq0.png","View")</f>
        <v>View</v>
      </c>
    </row>
    <row r="1224" spans="1:21" ht="40.799999999999997">
      <c r="A1224" s="6">
        <v>43424.245266203703</v>
      </c>
      <c r="B1224" s="7" t="str">
        <f>HYPERLINK("https://twitter.com/dickie825","@dickie825")</f>
        <v>@dickie825</v>
      </c>
      <c r="C1224" s="8" t="s">
        <v>3870</v>
      </c>
      <c r="D1224" s="9" t="s">
        <v>3871</v>
      </c>
      <c r="E1224" s="10" t="str">
        <f>HYPERLINK("https://twitter.com/dickie825/status/1064879331808165888","1064879331808165888")</f>
        <v>1064879331808165888</v>
      </c>
      <c r="F1224" s="11" t="s">
        <v>4434</v>
      </c>
      <c r="G1224" s="11" t="s">
        <v>4435</v>
      </c>
      <c r="H1224" s="12"/>
      <c r="I1224" s="13">
        <v>0</v>
      </c>
      <c r="J1224" s="13">
        <v>0</v>
      </c>
      <c r="K1224" s="14" t="str">
        <f>HYPERLINK("https://dlvrit.com/","dlvr.it")</f>
        <v>dlvr.it</v>
      </c>
      <c r="L1224" s="13">
        <v>3462</v>
      </c>
      <c r="M1224" s="13">
        <v>2367</v>
      </c>
      <c r="N1224" s="13">
        <v>23</v>
      </c>
      <c r="O1224" s="15"/>
      <c r="P1224" s="6">
        <v>41702.551354166666</v>
      </c>
      <c r="Q1224" s="17" t="s">
        <v>3875</v>
      </c>
      <c r="R1224" s="16" t="s">
        <v>3876</v>
      </c>
      <c r="S1224" s="11" t="s">
        <v>3878</v>
      </c>
      <c r="T1224" s="12"/>
      <c r="U1224" s="10" t="str">
        <f>HYPERLINK("https://pbs.twimg.com/profile_images/462982799574581250/pOhVVnh8.png","View")</f>
        <v>View</v>
      </c>
    </row>
    <row r="1225" spans="1:21" ht="20.399999999999999">
      <c r="A1225" s="6">
        <v>43424.243055555555</v>
      </c>
      <c r="B1225" s="7" t="str">
        <f>HYPERLINK("https://twitter.com/periodistadigit","@periodistadigit")</f>
        <v>@periodistadigit</v>
      </c>
      <c r="C1225" s="8" t="s">
        <v>4436</v>
      </c>
      <c r="D1225" s="9" t="s">
        <v>4309</v>
      </c>
      <c r="E1225" s="10" t="str">
        <f>HYPERLINK("https://twitter.com/periodistadigit/status/1064878528745869313","1064878528745869313")</f>
        <v>1064878528745869313</v>
      </c>
      <c r="F1225" s="11" t="s">
        <v>4437</v>
      </c>
      <c r="G1225" s="12"/>
      <c r="H1225" s="12"/>
      <c r="I1225" s="13">
        <v>4</v>
      </c>
      <c r="J1225" s="13">
        <v>0</v>
      </c>
      <c r="K1225" s="14" t="str">
        <f>HYPERLINK("https://about.twitter.com/products/tweetdeck","TweetDeck")</f>
        <v>TweetDeck</v>
      </c>
      <c r="L1225" s="13">
        <v>56097</v>
      </c>
      <c r="M1225" s="13">
        <v>3791</v>
      </c>
      <c r="N1225" s="13">
        <v>1469</v>
      </c>
      <c r="O1225" s="19" t="s">
        <v>74</v>
      </c>
      <c r="P1225" s="6">
        <v>40084.541296296295</v>
      </c>
      <c r="Q1225" s="17" t="s">
        <v>76</v>
      </c>
      <c r="R1225" s="16" t="s">
        <v>4439</v>
      </c>
      <c r="S1225" s="11" t="s">
        <v>4440</v>
      </c>
      <c r="T1225" s="12"/>
      <c r="U1225" s="10" t="str">
        <f>HYPERLINK("https://pbs.twimg.com/profile_images/1913331873/periodista-digital.jpg","View")</f>
        <v>View</v>
      </c>
    </row>
    <row r="1226" spans="1:21" ht="61.2">
      <c r="A1226" s="6">
        <v>43424.242743055554</v>
      </c>
      <c r="B1226" s="7" t="str">
        <f>HYPERLINK("https://twitter.com/VictoriaAntnGa5","@VictoriaAntnGa5")</f>
        <v>@VictoriaAntnGa5</v>
      </c>
      <c r="C1226" s="8" t="s">
        <v>4441</v>
      </c>
      <c r="D1226" s="9" t="s">
        <v>4442</v>
      </c>
      <c r="E1226" s="10" t="str">
        <f>HYPERLINK("https://twitter.com/VictoriaAntnGa5/status/1064878417991147520","1064878417991147520")</f>
        <v>1064878417991147520</v>
      </c>
      <c r="F1226" s="12"/>
      <c r="G1226" s="12"/>
      <c r="H1226" s="12"/>
      <c r="I1226" s="13">
        <v>52</v>
      </c>
      <c r="J1226" s="13">
        <v>41</v>
      </c>
      <c r="K1226" s="14" t="str">
        <f t="shared" ref="K1226:K1227" si="223">HYPERLINK("http://twitter.com/download/android","Twitter for Android")</f>
        <v>Twitter for Android</v>
      </c>
      <c r="L1226" s="13">
        <v>1761</v>
      </c>
      <c r="M1226" s="13">
        <v>2244</v>
      </c>
      <c r="N1226" s="13">
        <v>5</v>
      </c>
      <c r="O1226" s="15"/>
      <c r="P1226" s="6">
        <v>42769.618761574078</v>
      </c>
      <c r="Q1226" s="17" t="s">
        <v>2770</v>
      </c>
      <c r="R1226" s="16" t="s">
        <v>4443</v>
      </c>
      <c r="S1226" s="12"/>
      <c r="T1226" s="12"/>
      <c r="U1226" s="10" t="str">
        <f>HYPERLINK("https://pbs.twimg.com/profile_images/888433154805116929/S8Lg77Rr.jpg","View")</f>
        <v>View</v>
      </c>
    </row>
    <row r="1227" spans="1:21" ht="51">
      <c r="A1227" s="6">
        <v>43424.242291666669</v>
      </c>
      <c r="B1227" s="7" t="str">
        <f>HYPERLINK("https://twitter.com/LarrosaJoseM","@LarrosaJoseM")</f>
        <v>@LarrosaJoseM</v>
      </c>
      <c r="C1227" s="8" t="s">
        <v>4444</v>
      </c>
      <c r="D1227" s="9" t="s">
        <v>4445</v>
      </c>
      <c r="E1227" s="10" t="str">
        <f>HYPERLINK("https://twitter.com/LarrosaJoseM/status/1064878252643241985","1064878252643241985")</f>
        <v>1064878252643241985</v>
      </c>
      <c r="F1227" s="11" t="s">
        <v>3168</v>
      </c>
      <c r="G1227" s="12"/>
      <c r="H1227" s="12"/>
      <c r="I1227" s="13">
        <v>8</v>
      </c>
      <c r="J1227" s="13">
        <v>6</v>
      </c>
      <c r="K1227" s="14" t="str">
        <f t="shared" si="223"/>
        <v>Twitter for Android</v>
      </c>
      <c r="L1227" s="13">
        <v>104</v>
      </c>
      <c r="M1227" s="13">
        <v>199</v>
      </c>
      <c r="N1227" s="13">
        <v>0</v>
      </c>
      <c r="O1227" s="15"/>
      <c r="P1227" s="6">
        <v>43388.358391203699</v>
      </c>
      <c r="Q1227" s="17" t="s">
        <v>4446</v>
      </c>
      <c r="R1227" s="16" t="s">
        <v>4447</v>
      </c>
      <c r="S1227" s="12"/>
      <c r="T1227" s="12"/>
      <c r="U1227" s="10" t="str">
        <f>HYPERLINK("https://pbs.twimg.com/profile_images/1051863454791942144/vVXwuXMO.jpg","View")</f>
        <v>View</v>
      </c>
    </row>
    <row r="1228" spans="1:21" ht="20.399999999999999">
      <c r="A1228" s="6">
        <v>43424.239745370374</v>
      </c>
      <c r="B1228" s="7" t="str">
        <f>HYPERLINK("https://twitter.com/_infoLibre","@_infoLibre")</f>
        <v>@_infoLibre</v>
      </c>
      <c r="C1228" s="8" t="s">
        <v>4448</v>
      </c>
      <c r="D1228" s="9" t="s">
        <v>4449</v>
      </c>
      <c r="E1228" s="10" t="str">
        <f>HYPERLINK("https://twitter.com/_infoLibre/status/1064877330550661120","1064877330550661120")</f>
        <v>1064877330550661120</v>
      </c>
      <c r="F1228" s="11" t="s">
        <v>4450</v>
      </c>
      <c r="G1228" s="11" t="s">
        <v>4451</v>
      </c>
      <c r="H1228" s="12"/>
      <c r="I1228" s="13">
        <v>0</v>
      </c>
      <c r="J1228" s="13">
        <v>2</v>
      </c>
      <c r="K1228" s="14" t="str">
        <f>HYPERLINK("https://www.hootsuite.com","Hootsuite Inc.")</f>
        <v>Hootsuite Inc.</v>
      </c>
      <c r="L1228" s="13">
        <v>249041</v>
      </c>
      <c r="M1228" s="13">
        <v>727</v>
      </c>
      <c r="N1228" s="13">
        <v>4488</v>
      </c>
      <c r="O1228" s="19" t="s">
        <v>74</v>
      </c>
      <c r="P1228" s="6">
        <v>41069.544710648144</v>
      </c>
      <c r="Q1228" s="17" t="s">
        <v>76</v>
      </c>
      <c r="R1228" s="16" t="s">
        <v>4452</v>
      </c>
      <c r="S1228" s="11" t="s">
        <v>4453</v>
      </c>
      <c r="T1228" s="12"/>
      <c r="U1228" s="10" t="str">
        <f>HYPERLINK("https://pbs.twimg.com/profile_images/972036821000605696/wPuPU0Mx.jpg","View")</f>
        <v>View</v>
      </c>
    </row>
    <row r="1229" spans="1:21" ht="20.399999999999999">
      <c r="A1229" s="6">
        <v>43424.238020833334</v>
      </c>
      <c r="B1229" s="7" t="str">
        <f>HYPERLINK("https://twitter.com/juanmalamet","@juanmalamet")</f>
        <v>@juanmalamet</v>
      </c>
      <c r="C1229" s="8" t="s">
        <v>4454</v>
      </c>
      <c r="D1229" s="9" t="s">
        <v>4455</v>
      </c>
      <c r="E1229" s="10" t="str">
        <f>HYPERLINK("https://twitter.com/juanmalamet/status/1064876704886341633","1064876704886341633")</f>
        <v>1064876704886341633</v>
      </c>
      <c r="F1229" s="11" t="s">
        <v>3168</v>
      </c>
      <c r="G1229" s="12"/>
      <c r="H1229" s="12"/>
      <c r="I1229" s="13">
        <v>3</v>
      </c>
      <c r="J1229" s="13">
        <v>3</v>
      </c>
      <c r="K1229" s="14" t="str">
        <f t="shared" ref="K1229:K1230" si="224">HYPERLINK("http://twitter.com/download/android","Twitter for Android")</f>
        <v>Twitter for Android</v>
      </c>
      <c r="L1229" s="13">
        <v>5010</v>
      </c>
      <c r="M1229" s="13">
        <v>1756</v>
      </c>
      <c r="N1229" s="13">
        <v>151</v>
      </c>
      <c r="O1229" s="15"/>
      <c r="P1229" s="6">
        <v>40417.435729166667</v>
      </c>
      <c r="Q1229" s="17" t="s">
        <v>4456</v>
      </c>
      <c r="R1229" s="16" t="s">
        <v>4457</v>
      </c>
      <c r="S1229" s="12"/>
      <c r="T1229" s="12"/>
      <c r="U1229" s="10" t="str">
        <f>HYPERLINK("https://pbs.twimg.com/profile_images/1038932595508240384/Cdfn4Nk8.jpg","View")</f>
        <v>View</v>
      </c>
    </row>
    <row r="1230" spans="1:21" ht="51">
      <c r="A1230" s="6">
        <v>43424.237638888888</v>
      </c>
      <c r="B1230" s="7" t="str">
        <f>HYPERLINK("https://twitter.com/pmenamendoza","@pmenamendoza")</f>
        <v>@pmenamendoza</v>
      </c>
      <c r="C1230" s="8" t="s">
        <v>4458</v>
      </c>
      <c r="D1230" s="9" t="s">
        <v>4459</v>
      </c>
      <c r="E1230" s="10" t="str">
        <f>HYPERLINK("https://twitter.com/pmenamendoza/status/1064876564737863683","1064876564737863683")</f>
        <v>1064876564737863683</v>
      </c>
      <c r="F1230" s="12"/>
      <c r="G1230" s="11" t="s">
        <v>4460</v>
      </c>
      <c r="H1230" s="12"/>
      <c r="I1230" s="13">
        <v>0</v>
      </c>
      <c r="J1230" s="13">
        <v>0</v>
      </c>
      <c r="K1230" s="14" t="str">
        <f t="shared" si="224"/>
        <v>Twitter for Android</v>
      </c>
      <c r="L1230" s="13">
        <v>1577</v>
      </c>
      <c r="M1230" s="13">
        <v>2974</v>
      </c>
      <c r="N1230" s="13">
        <v>21</v>
      </c>
      <c r="O1230" s="15"/>
      <c r="P1230" s="6">
        <v>42032.491469907407</v>
      </c>
      <c r="Q1230" s="12"/>
      <c r="R1230" s="18"/>
      <c r="S1230" s="12"/>
      <c r="T1230" s="12"/>
      <c r="U1230" s="10" t="str">
        <f>HYPERLINK("https://pbs.twimg.com/profile_images/1058821667689021444/zw3Uhwo6.jpg","View")</f>
        <v>View</v>
      </c>
    </row>
    <row r="1231" spans="1:21" ht="20.399999999999999">
      <c r="A1231" s="6">
        <v>43424.237604166672</v>
      </c>
      <c r="B1231" s="7" t="str">
        <f>HYPERLINK("https://twitter.com/DIARIODELVALLE","@DIARIODELVALLE")</f>
        <v>@DIARIODELVALLE</v>
      </c>
      <c r="C1231" s="8" t="s">
        <v>4461</v>
      </c>
      <c r="D1231" s="9" t="s">
        <v>4066</v>
      </c>
      <c r="E1231" s="10" t="str">
        <f>HYPERLINK("https://twitter.com/DIARIODELVALLE/status/1064876554390577153","1064876554390577153")</f>
        <v>1064876554390577153</v>
      </c>
      <c r="F1231" s="11" t="s">
        <v>3637</v>
      </c>
      <c r="G1231" s="12"/>
      <c r="H1231" s="12"/>
      <c r="I1231" s="13">
        <v>0</v>
      </c>
      <c r="J1231" s="13">
        <v>0</v>
      </c>
      <c r="K1231" s="14" t="str">
        <f>HYPERLINK("http://twitter.com","Twitter Web Client")</f>
        <v>Twitter Web Client</v>
      </c>
      <c r="L1231" s="13">
        <v>135</v>
      </c>
      <c r="M1231" s="13">
        <v>87</v>
      </c>
      <c r="N1231" s="13">
        <v>6</v>
      </c>
      <c r="O1231" s="15"/>
      <c r="P1231" s="6">
        <v>41266.175069444442</v>
      </c>
      <c r="Q1231" s="17" t="s">
        <v>29</v>
      </c>
      <c r="R1231" s="16" t="s">
        <v>4462</v>
      </c>
      <c r="S1231" s="12"/>
      <c r="T1231" s="12"/>
      <c r="U1231" s="10" t="str">
        <f>HYPERLINK("https://pbs.twimg.com/profile_images/3010276957/438470614cd1b8c5d849e51bf174cd85.jpeg","View")</f>
        <v>View</v>
      </c>
    </row>
    <row r="1232" spans="1:21" ht="30.6">
      <c r="A1232" s="6">
        <v>43424.235173611116</v>
      </c>
      <c r="B1232" s="7" t="str">
        <f>HYPERLINK("https://twitter.com/Xuxipc","@Xuxipc")</f>
        <v>@Xuxipc</v>
      </c>
      <c r="C1232" s="8" t="s">
        <v>1361</v>
      </c>
      <c r="D1232" s="9" t="s">
        <v>4463</v>
      </c>
      <c r="E1232" s="10" t="str">
        <f>HYPERLINK("https://twitter.com/Xuxipc/status/1064875671250485248","1064875671250485248")</f>
        <v>1064875671250485248</v>
      </c>
      <c r="F1232" s="12"/>
      <c r="G1232" s="12"/>
      <c r="H1232" s="12"/>
      <c r="I1232" s="13">
        <v>52</v>
      </c>
      <c r="J1232" s="13">
        <v>199</v>
      </c>
      <c r="K1232" s="14" t="str">
        <f t="shared" ref="K1232:K1233" si="225">HYPERLINK("http://twitter.com/download/android","Twitter for Android")</f>
        <v>Twitter for Android</v>
      </c>
      <c r="L1232" s="13">
        <v>182356</v>
      </c>
      <c r="M1232" s="13">
        <v>280</v>
      </c>
      <c r="N1232" s="13">
        <v>1244</v>
      </c>
      <c r="O1232" s="15"/>
      <c r="P1232" s="6">
        <v>41297.293078703704</v>
      </c>
      <c r="Q1232" s="17" t="s">
        <v>1363</v>
      </c>
      <c r="R1232" s="16" t="s">
        <v>1364</v>
      </c>
      <c r="S1232" s="11" t="s">
        <v>1365</v>
      </c>
      <c r="T1232" s="12"/>
      <c r="U1232" s="10" t="str">
        <f>HYPERLINK("https://pbs.twimg.com/profile_images/1060442492217290752/p4rkMs-Y.jpg","View")</f>
        <v>View</v>
      </c>
    </row>
    <row r="1233" spans="1:21" ht="40.799999999999997">
      <c r="A1233" s="6">
        <v>43424.233483796299</v>
      </c>
      <c r="B1233" s="7" t="str">
        <f>HYPERLINK("https://twitter.com/marianocruz552","@marianocruz552")</f>
        <v>@marianocruz552</v>
      </c>
      <c r="C1233" s="8" t="s">
        <v>4464</v>
      </c>
      <c r="D1233" s="9" t="s">
        <v>4465</v>
      </c>
      <c r="E1233" s="10" t="str">
        <f>HYPERLINK("https://twitter.com/marianocruz552/status/1064875061834903554","1064875061834903554")</f>
        <v>1064875061834903554</v>
      </c>
      <c r="F1233" s="12"/>
      <c r="G1233" s="12"/>
      <c r="H1233" s="12"/>
      <c r="I1233" s="13">
        <v>0</v>
      </c>
      <c r="J1233" s="13">
        <v>0</v>
      </c>
      <c r="K1233" s="14" t="str">
        <f t="shared" si="225"/>
        <v>Twitter for Android</v>
      </c>
      <c r="L1233" s="13">
        <v>6</v>
      </c>
      <c r="M1233" s="13">
        <v>99</v>
      </c>
      <c r="N1233" s="13">
        <v>0</v>
      </c>
      <c r="O1233" s="15"/>
      <c r="P1233" s="6">
        <v>42165.006238425922</v>
      </c>
      <c r="Q1233" s="12"/>
      <c r="R1233" s="18"/>
      <c r="S1233" s="12"/>
      <c r="T1233" s="12"/>
      <c r="U1233" s="10" t="str">
        <f>HYPERLINK("https://pbs.twimg.com/profile_images/613020439200313345/gwwSZNR9.jpg","View")</f>
        <v>View</v>
      </c>
    </row>
    <row r="1234" spans="1:21" ht="51">
      <c r="A1234" s="6">
        <v>43424.233275462961</v>
      </c>
      <c r="B1234" s="7" t="str">
        <f>HYPERLINK("https://twitter.com/AmosNoticia","@AmosNoticia")</f>
        <v>@AmosNoticia</v>
      </c>
      <c r="C1234" s="8" t="s">
        <v>4466</v>
      </c>
      <c r="D1234" s="9" t="s">
        <v>4467</v>
      </c>
      <c r="E1234" s="10" t="str">
        <f>HYPERLINK("https://twitter.com/AmosNoticia/status/1064874985775398918","1064874985775398918")</f>
        <v>1064874985775398918</v>
      </c>
      <c r="F1234" s="11" t="s">
        <v>4468</v>
      </c>
      <c r="G1234" s="11" t="s">
        <v>4469</v>
      </c>
      <c r="H1234" s="12"/>
      <c r="I1234" s="13">
        <v>0</v>
      </c>
      <c r="J1234" s="13">
        <v>0</v>
      </c>
      <c r="K1234" s="14" t="str">
        <f>HYPERLINK("http://twitter.com/#!/download/ipad","Twitter for iPad")</f>
        <v>Twitter for iPad</v>
      </c>
      <c r="L1234" s="13">
        <v>5</v>
      </c>
      <c r="M1234" s="13">
        <v>10</v>
      </c>
      <c r="N1234" s="13">
        <v>0</v>
      </c>
      <c r="O1234" s="15"/>
      <c r="P1234" s="6">
        <v>43423.398356481484</v>
      </c>
      <c r="Q1234" s="17" t="s">
        <v>4470</v>
      </c>
      <c r="R1234" s="16" t="s">
        <v>4471</v>
      </c>
      <c r="S1234" s="12"/>
      <c r="T1234" s="12"/>
      <c r="U1234" s="10" t="str">
        <f>HYPERLINK("https://pbs.twimg.com/profile_images/1064574801933672448/wWMMBYKR.jpg","View")</f>
        <v>View</v>
      </c>
    </row>
    <row r="1235" spans="1:21" ht="20.399999999999999">
      <c r="A1235" s="6">
        <v>43424.232662037037</v>
      </c>
      <c r="B1235" s="7" t="str">
        <f>HYPERLINK("https://twitter.com/CesarNoelAlvare","@CesarNoelAlvare")</f>
        <v>@CesarNoelAlvare</v>
      </c>
      <c r="C1235" s="8" t="s">
        <v>4472</v>
      </c>
      <c r="D1235" s="9" t="s">
        <v>4473</v>
      </c>
      <c r="E1235" s="10" t="str">
        <f>HYPERLINK("https://twitter.com/CesarNoelAlvare/status/1064874764127404034","1064874764127404034")</f>
        <v>1064874764127404034</v>
      </c>
      <c r="F1235" s="11" t="s">
        <v>3168</v>
      </c>
      <c r="G1235" s="12"/>
      <c r="H1235" s="12"/>
      <c r="I1235" s="13">
        <v>0</v>
      </c>
      <c r="J1235" s="13">
        <v>0</v>
      </c>
      <c r="K1235" s="14" t="str">
        <f>HYPERLINK("http://twitter.com","Twitter Web Client")</f>
        <v>Twitter Web Client</v>
      </c>
      <c r="L1235" s="13">
        <v>441</v>
      </c>
      <c r="M1235" s="13">
        <v>1883</v>
      </c>
      <c r="N1235" s="13">
        <v>4</v>
      </c>
      <c r="O1235" s="15"/>
      <c r="P1235" s="6">
        <v>41132.29111111111</v>
      </c>
      <c r="Q1235" s="12"/>
      <c r="R1235" s="16" t="s">
        <v>4474</v>
      </c>
      <c r="S1235" s="12"/>
      <c r="T1235" s="12"/>
      <c r="U1235" s="10" t="str">
        <f>HYPERLINK("https://pbs.twimg.com/profile_images/1061958919000674304/gDDGeTdq.jpg","View")</f>
        <v>View</v>
      </c>
    </row>
    <row r="1236" spans="1:21" ht="30.6">
      <c r="A1236" s="6">
        <v>43424.232303240744</v>
      </c>
      <c r="B1236" s="7" t="str">
        <f>HYPERLINK("https://twitter.com/elmundotoday","@elmundotoday")</f>
        <v>@elmundotoday</v>
      </c>
      <c r="C1236" s="8" t="s">
        <v>4475</v>
      </c>
      <c r="D1236" s="9" t="s">
        <v>3391</v>
      </c>
      <c r="E1236" s="10" t="str">
        <f>HYPERLINK("https://twitter.com/elmundotoday/status/1064874631331540992","1064874631331540992")</f>
        <v>1064874631331540992</v>
      </c>
      <c r="F1236" s="11" t="s">
        <v>3997</v>
      </c>
      <c r="G1236" s="11" t="s">
        <v>4476</v>
      </c>
      <c r="H1236" s="12"/>
      <c r="I1236" s="13">
        <v>87</v>
      </c>
      <c r="J1236" s="13">
        <v>267</v>
      </c>
      <c r="K1236" s="14" t="str">
        <f>HYPERLINK("https://buffer.com","Buffer")</f>
        <v>Buffer</v>
      </c>
      <c r="L1236" s="13">
        <v>1231255</v>
      </c>
      <c r="M1236" s="13">
        <v>453</v>
      </c>
      <c r="N1236" s="13">
        <v>7696</v>
      </c>
      <c r="O1236" s="19" t="s">
        <v>74</v>
      </c>
      <c r="P1236" s="6">
        <v>39939.958298611113</v>
      </c>
      <c r="Q1236" s="17" t="s">
        <v>29</v>
      </c>
      <c r="R1236" s="16" t="s">
        <v>4477</v>
      </c>
      <c r="S1236" s="11" t="s">
        <v>4478</v>
      </c>
      <c r="T1236" s="12"/>
      <c r="U1236" s="10" t="str">
        <f>HYPERLINK("https://pbs.twimg.com/profile_images/875784584415367168/owNLAulC.jpg","View")</f>
        <v>View</v>
      </c>
    </row>
    <row r="1237" spans="1:21" ht="30.6">
      <c r="A1237" s="6">
        <v>43424.231990740736</v>
      </c>
      <c r="B1237" s="7" t="str">
        <f>HYPERLINK("https://twitter.com/AgenteSmint","@AgenteSmint")</f>
        <v>@AgenteSmint</v>
      </c>
      <c r="C1237" s="8" t="s">
        <v>4479</v>
      </c>
      <c r="D1237" s="9" t="s">
        <v>4480</v>
      </c>
      <c r="E1237" s="10" t="str">
        <f>HYPERLINK("https://twitter.com/AgenteSmint/status/1064874519653990401","1064874519653990401")</f>
        <v>1064874519653990401</v>
      </c>
      <c r="F1237" s="12"/>
      <c r="G1237" s="11" t="s">
        <v>4481</v>
      </c>
      <c r="H1237" s="12"/>
      <c r="I1237" s="13">
        <v>1</v>
      </c>
      <c r="J1237" s="13">
        <v>3</v>
      </c>
      <c r="K1237" s="14" t="str">
        <f>HYPERLINK("http://twitter.com/download/android","Twitter for Android")</f>
        <v>Twitter for Android</v>
      </c>
      <c r="L1237" s="13">
        <v>10695</v>
      </c>
      <c r="M1237" s="13">
        <v>490</v>
      </c>
      <c r="N1237" s="13">
        <v>196</v>
      </c>
      <c r="O1237" s="15"/>
      <c r="P1237" s="6">
        <v>41831.260844907403</v>
      </c>
      <c r="Q1237" s="17" t="s">
        <v>4482</v>
      </c>
      <c r="R1237" s="16" t="s">
        <v>4483</v>
      </c>
      <c r="S1237" s="11" t="s">
        <v>4484</v>
      </c>
      <c r="T1237" s="12"/>
      <c r="U1237" s="10" t="str">
        <f>HYPERLINK("https://pbs.twimg.com/profile_images/1063749375829164032/075gZV12.jpg","View")</f>
        <v>View</v>
      </c>
    </row>
    <row r="1238" spans="1:21" ht="30.6">
      <c r="A1238" s="6">
        <v>43424.230011574073</v>
      </c>
      <c r="B1238" s="7" t="str">
        <f>HYPERLINK("https://twitter.com/xvbcn","@xvbcn")</f>
        <v>@xvbcn</v>
      </c>
      <c r="C1238" s="8" t="s">
        <v>4485</v>
      </c>
      <c r="D1238" s="9" t="s">
        <v>4486</v>
      </c>
      <c r="E1238" s="10" t="str">
        <f>HYPERLINK("https://twitter.com/xvbcn/status/1064873804273541120","1064873804273541120")</f>
        <v>1064873804273541120</v>
      </c>
      <c r="F1238" s="12"/>
      <c r="G1238" s="12"/>
      <c r="H1238" s="12"/>
      <c r="I1238" s="13">
        <v>0</v>
      </c>
      <c r="J1238" s="13">
        <v>0</v>
      </c>
      <c r="K1238" s="14" t="str">
        <f>HYPERLINK("http://twitter.com/download/iphone","Twitter for iPhone")</f>
        <v>Twitter for iPhone</v>
      </c>
      <c r="L1238" s="13">
        <v>46</v>
      </c>
      <c r="M1238" s="13">
        <v>235</v>
      </c>
      <c r="N1238" s="13">
        <v>0</v>
      </c>
      <c r="O1238" s="15"/>
      <c r="P1238" s="6">
        <v>40516.634976851856</v>
      </c>
      <c r="Q1238" s="12"/>
      <c r="R1238" s="16" t="s">
        <v>4487</v>
      </c>
      <c r="S1238" s="12"/>
      <c r="T1238" s="12"/>
      <c r="U1238" s="10" t="str">
        <f>HYPERLINK("https://pbs.twimg.com/profile_images/378800000637336395/0c8ea46357de8eb651c7de304ea2bd07.jpeg","View")</f>
        <v>View</v>
      </c>
    </row>
    <row r="1239" spans="1:21" ht="40.799999999999997">
      <c r="A1239" s="6">
        <v>43424.229861111111</v>
      </c>
      <c r="B1239" s="7" t="str">
        <f>HYPERLINK("https://twitter.com/jatirado","@jatirado")</f>
        <v>@jatirado</v>
      </c>
      <c r="C1239" s="8" t="s">
        <v>4488</v>
      </c>
      <c r="D1239" s="9" t="s">
        <v>4489</v>
      </c>
      <c r="E1239" s="10" t="str">
        <f>HYPERLINK("https://twitter.com/jatirado/status/1064873749072072706","1064873749072072706")</f>
        <v>1064873749072072706</v>
      </c>
      <c r="F1239" s="11" t="s">
        <v>4490</v>
      </c>
      <c r="G1239" s="11" t="s">
        <v>4491</v>
      </c>
      <c r="H1239" s="12"/>
      <c r="I1239" s="13">
        <v>4</v>
      </c>
      <c r="J1239" s="13">
        <v>2</v>
      </c>
      <c r="K1239" s="14" t="str">
        <f>HYPERLINK("https://dlvrit.com/","dlvr.it")</f>
        <v>dlvr.it</v>
      </c>
      <c r="L1239" s="13">
        <v>81725</v>
      </c>
      <c r="M1239" s="13">
        <v>54342</v>
      </c>
      <c r="N1239" s="13">
        <v>1027</v>
      </c>
      <c r="O1239" s="15"/>
      <c r="P1239" s="6">
        <v>40353.177581018521</v>
      </c>
      <c r="Q1239" s="17" t="s">
        <v>76</v>
      </c>
      <c r="R1239" s="16" t="s">
        <v>4492</v>
      </c>
      <c r="S1239" s="11" t="s">
        <v>4493</v>
      </c>
      <c r="T1239" s="12"/>
      <c r="U1239" s="10" t="str">
        <f>HYPERLINK("https://pbs.twimg.com/profile_images/485680559742791680/dg68o8vH.jpeg","View")</f>
        <v>View</v>
      </c>
    </row>
    <row r="1240" spans="1:21" ht="30.6">
      <c r="A1240" s="6">
        <v>43424.229166666672</v>
      </c>
      <c r="B1240" s="7" t="str">
        <f>HYPERLINK("https://twitter.com/gaceta_es","@gaceta_es")</f>
        <v>@gaceta_es</v>
      </c>
      <c r="C1240" s="8" t="s">
        <v>4494</v>
      </c>
      <c r="D1240" s="9" t="s">
        <v>4495</v>
      </c>
      <c r="E1240" s="10" t="str">
        <f>HYPERLINK("https://twitter.com/gaceta_es/status/1064873495262199809","1064873495262199809")</f>
        <v>1064873495262199809</v>
      </c>
      <c r="F1240" s="11" t="s">
        <v>4496</v>
      </c>
      <c r="G1240" s="11" t="s">
        <v>4497</v>
      </c>
      <c r="H1240" s="12"/>
      <c r="I1240" s="13">
        <v>1</v>
      </c>
      <c r="J1240" s="13">
        <v>0</v>
      </c>
      <c r="K1240" s="14" t="str">
        <f>HYPERLINK("https://about.twitter.com/products/tweetdeck","TweetDeck")</f>
        <v>TweetDeck</v>
      </c>
      <c r="L1240" s="13">
        <v>181210</v>
      </c>
      <c r="M1240" s="13">
        <v>98</v>
      </c>
      <c r="N1240" s="13">
        <v>2117</v>
      </c>
      <c r="O1240" s="19" t="s">
        <v>74</v>
      </c>
      <c r="P1240" s="6">
        <v>39758.369652777779</v>
      </c>
      <c r="Q1240" s="17" t="s">
        <v>29</v>
      </c>
      <c r="R1240" s="16" t="s">
        <v>4498</v>
      </c>
      <c r="S1240" s="11" t="s">
        <v>4499</v>
      </c>
      <c r="T1240" s="12"/>
      <c r="U1240" s="10" t="str">
        <f>HYPERLINK("https://pbs.twimg.com/profile_images/890208177580593152/SQpRuBm8.jpg","View")</f>
        <v>View</v>
      </c>
    </row>
    <row r="1241" spans="1:21" ht="40.799999999999997">
      <c r="A1241" s="6">
        <v>43424.226759259254</v>
      </c>
      <c r="B1241" s="7" t="str">
        <f>HYPERLINK("https://twitter.com/AmosNoticia","@AmosNoticia")</f>
        <v>@AmosNoticia</v>
      </c>
      <c r="C1241" s="8" t="s">
        <v>4466</v>
      </c>
      <c r="D1241" s="9" t="s">
        <v>4500</v>
      </c>
      <c r="E1241" s="10" t="str">
        <f>HYPERLINK("https://twitter.com/AmosNoticia/status/1064872622167592960","1064872622167592960")</f>
        <v>1064872622167592960</v>
      </c>
      <c r="F1241" s="11" t="s">
        <v>4501</v>
      </c>
      <c r="G1241" s="11" t="s">
        <v>4502</v>
      </c>
      <c r="H1241" s="12"/>
      <c r="I1241" s="13">
        <v>0</v>
      </c>
      <c r="J1241" s="13">
        <v>0</v>
      </c>
      <c r="K1241" s="14" t="str">
        <f>HYPERLINK("http://twitter.com/#!/download/ipad","Twitter for iPad")</f>
        <v>Twitter for iPad</v>
      </c>
      <c r="L1241" s="13">
        <v>5</v>
      </c>
      <c r="M1241" s="13">
        <v>10</v>
      </c>
      <c r="N1241" s="13">
        <v>0</v>
      </c>
      <c r="O1241" s="15"/>
      <c r="P1241" s="6">
        <v>43423.398356481484</v>
      </c>
      <c r="Q1241" s="17" t="s">
        <v>4470</v>
      </c>
      <c r="R1241" s="16" t="s">
        <v>4471</v>
      </c>
      <c r="S1241" s="12"/>
      <c r="T1241" s="12"/>
      <c r="U1241" s="10" t="str">
        <f>HYPERLINK("https://pbs.twimg.com/profile_images/1064574801933672448/wWMMBYKR.jpg","View")</f>
        <v>View</v>
      </c>
    </row>
    <row r="1242" spans="1:21" ht="40.799999999999997">
      <c r="A1242" s="6">
        <v>43424.223379629635</v>
      </c>
      <c r="B1242" s="7" t="str">
        <f>HYPERLINK("https://twitter.com/tamenobregon","@tamenobregon")</f>
        <v>@tamenobregon</v>
      </c>
      <c r="C1242" s="8" t="s">
        <v>4503</v>
      </c>
      <c r="D1242" s="9" t="s">
        <v>4504</v>
      </c>
      <c r="E1242" s="10" t="str">
        <f>HYPERLINK("https://twitter.com/tamenobregon/status/1064871397783150594","1064871397783150594")</f>
        <v>1064871397783150594</v>
      </c>
      <c r="F1242" s="12"/>
      <c r="G1242" s="12"/>
      <c r="H1242" s="12"/>
      <c r="I1242" s="13">
        <v>0</v>
      </c>
      <c r="J1242" s="13">
        <v>1</v>
      </c>
      <c r="K1242" s="14" t="str">
        <f>HYPERLINK("https://mobile.twitter.com","Twitter Lite")</f>
        <v>Twitter Lite</v>
      </c>
      <c r="L1242" s="13">
        <v>626</v>
      </c>
      <c r="M1242" s="13">
        <v>2787</v>
      </c>
      <c r="N1242" s="13">
        <v>8</v>
      </c>
      <c r="O1242" s="15"/>
      <c r="P1242" s="6">
        <v>40423.231874999998</v>
      </c>
      <c r="Q1242" s="17" t="s">
        <v>4505</v>
      </c>
      <c r="R1242" s="16" t="s">
        <v>4506</v>
      </c>
      <c r="S1242" s="12"/>
      <c r="T1242" s="12"/>
      <c r="U1242" s="10" t="str">
        <f>HYPERLINK("https://pbs.twimg.com/profile_images/808356047521976321/z9GX6N82.jpg","View")</f>
        <v>View</v>
      </c>
    </row>
    <row r="1243" spans="1:21" ht="30.6">
      <c r="A1243" s="6">
        <v>43424.222534722227</v>
      </c>
      <c r="B1243" s="7" t="str">
        <f>HYPERLINK("https://twitter.com/Indijnante","@Indijnante")</f>
        <v>@Indijnante</v>
      </c>
      <c r="C1243" s="8" t="s">
        <v>4507</v>
      </c>
      <c r="D1243" s="9" t="s">
        <v>4508</v>
      </c>
      <c r="E1243" s="10" t="str">
        <f>HYPERLINK("https://twitter.com/Indijnante/status/1064871092043595779","1064871092043595779")</f>
        <v>1064871092043595779</v>
      </c>
      <c r="F1243" s="11" t="s">
        <v>4509</v>
      </c>
      <c r="G1243" s="12"/>
      <c r="H1243" s="12"/>
      <c r="I1243" s="13">
        <v>0</v>
      </c>
      <c r="J1243" s="13">
        <v>0</v>
      </c>
      <c r="K1243" s="14" t="str">
        <f>HYPERLINK("http://twitter.com","Twitter Web Client")</f>
        <v>Twitter Web Client</v>
      </c>
      <c r="L1243" s="13">
        <v>606</v>
      </c>
      <c r="M1243" s="13">
        <v>1176</v>
      </c>
      <c r="N1243" s="13">
        <v>10</v>
      </c>
      <c r="O1243" s="15"/>
      <c r="P1243" s="6">
        <v>41845.45684027778</v>
      </c>
      <c r="Q1243" s="17" t="s">
        <v>4507</v>
      </c>
      <c r="R1243" s="16" t="s">
        <v>4510</v>
      </c>
      <c r="S1243" s="12"/>
      <c r="T1243" s="12"/>
      <c r="U1243" s="10" t="str">
        <f>HYPERLINK("https://pbs.twimg.com/profile_images/927485102325665792/fFtVGQ25.jpg","View")</f>
        <v>View</v>
      </c>
    </row>
    <row r="1244" spans="1:21" ht="30.6">
      <c r="A1244" s="6">
        <v>43424.221597222218</v>
      </c>
      <c r="B1244" s="7" t="str">
        <f>HYPERLINK("https://twitter.com/deia_bizkaia","@deia_bizkaia")</f>
        <v>@deia_bizkaia</v>
      </c>
      <c r="C1244" s="8" t="s">
        <v>4511</v>
      </c>
      <c r="D1244" s="9" t="s">
        <v>4512</v>
      </c>
      <c r="E1244" s="10" t="str">
        <f>HYPERLINK("https://twitter.com/deia_bizkaia/status/1064870751625338882","1064870751625338882")</f>
        <v>1064870751625338882</v>
      </c>
      <c r="F1244" s="11" t="s">
        <v>4513</v>
      </c>
      <c r="G1244" s="11" t="s">
        <v>4514</v>
      </c>
      <c r="H1244" s="12" t="str">
        <f>HYPERLINK("https://ctrlq.org/maps/address/#43.297878,-2.9850562","Map")</f>
        <v>Map</v>
      </c>
      <c r="I1244" s="13">
        <v>2</v>
      </c>
      <c r="J1244" s="13">
        <v>0</v>
      </c>
      <c r="K1244" s="14" t="str">
        <f>HYPERLINK("https://dlvrit.com/","dlvr.it")</f>
        <v>dlvr.it</v>
      </c>
      <c r="L1244" s="13">
        <v>42332</v>
      </c>
      <c r="M1244" s="13">
        <v>1670</v>
      </c>
      <c r="N1244" s="13">
        <v>840</v>
      </c>
      <c r="O1244" s="15"/>
      <c r="P1244" s="6">
        <v>40200.365706018521</v>
      </c>
      <c r="Q1244" s="17" t="s">
        <v>87</v>
      </c>
      <c r="R1244" s="16" t="s">
        <v>4515</v>
      </c>
      <c r="S1244" s="11" t="s">
        <v>4516</v>
      </c>
      <c r="T1244" s="12"/>
      <c r="U1244" s="10" t="str">
        <f>HYPERLINK("https://pbs.twimg.com/profile_images/2736819669/6b9bd02c5558ec3b0df35c7c3ecdd9e2.png","View")</f>
        <v>View</v>
      </c>
    </row>
    <row r="1245" spans="1:21" ht="30.6">
      <c r="A1245" s="6">
        <v>43424.220416666663</v>
      </c>
      <c r="B1245" s="7" t="str">
        <f>HYPERLINK("https://twitter.com/mcarmenjuan","@mcarmenjuan")</f>
        <v>@mcarmenjuan</v>
      </c>
      <c r="C1245" s="8" t="s">
        <v>4517</v>
      </c>
      <c r="D1245" s="9" t="s">
        <v>4518</v>
      </c>
      <c r="E1245" s="10" t="str">
        <f>HYPERLINK("https://twitter.com/mcarmenjuan/status/1064870324049768451","1064870324049768451")</f>
        <v>1064870324049768451</v>
      </c>
      <c r="F1245" s="12"/>
      <c r="G1245" s="12"/>
      <c r="H1245" s="12"/>
      <c r="I1245" s="13">
        <v>12</v>
      </c>
      <c r="J1245" s="13">
        <v>16</v>
      </c>
      <c r="K1245" s="14" t="str">
        <f>HYPERLINK("http://twitter.com/download/android","Twitter for Android")</f>
        <v>Twitter for Android</v>
      </c>
      <c r="L1245" s="13">
        <v>8826</v>
      </c>
      <c r="M1245" s="13">
        <v>2051</v>
      </c>
      <c r="N1245" s="13">
        <v>263</v>
      </c>
      <c r="O1245" s="15"/>
      <c r="P1245" s="6">
        <v>40480.382372685184</v>
      </c>
      <c r="Q1245" s="17" t="s">
        <v>187</v>
      </c>
      <c r="R1245" s="16" t="s">
        <v>4519</v>
      </c>
      <c r="S1245" s="12"/>
      <c r="T1245" s="12"/>
      <c r="U1245" s="10" t="str">
        <f>HYPERLINK("https://pbs.twimg.com/profile_images/799250685854359552/y62-tlBN.jpg","View")</f>
        <v>View</v>
      </c>
    </row>
    <row r="1246" spans="1:21" ht="20.399999999999999">
      <c r="A1246" s="6">
        <v>43424.220081018517</v>
      </c>
      <c r="B1246" s="7" t="str">
        <f>HYPERLINK("https://twitter.com/NoticieroUniv","@NoticieroUniv")</f>
        <v>@NoticieroUniv</v>
      </c>
      <c r="C1246" s="8" t="s">
        <v>4520</v>
      </c>
      <c r="D1246" s="9" t="s">
        <v>4521</v>
      </c>
      <c r="E1246" s="10" t="str">
        <f>HYPERLINK("https://twitter.com/NoticieroUniv/status/1064870205367730177","1064870205367730177")</f>
        <v>1064870205367730177</v>
      </c>
      <c r="F1246" s="11" t="s">
        <v>4522</v>
      </c>
      <c r="G1246" s="12"/>
      <c r="H1246" s="12"/>
      <c r="I1246" s="13">
        <v>0</v>
      </c>
      <c r="J1246" s="13">
        <v>0</v>
      </c>
      <c r="K1246" s="14" t="str">
        <f>HYPERLINK("https://noticierouniversal.com/","NoticieroUniversal")</f>
        <v>NoticieroUniversal</v>
      </c>
      <c r="L1246" s="13">
        <v>1080</v>
      </c>
      <c r="M1246" s="13">
        <v>36</v>
      </c>
      <c r="N1246" s="13">
        <v>21</v>
      </c>
      <c r="O1246" s="15"/>
      <c r="P1246" s="6">
        <v>42402.172939814816</v>
      </c>
      <c r="Q1246" s="17" t="s">
        <v>340</v>
      </c>
      <c r="R1246" s="16" t="s">
        <v>4523</v>
      </c>
      <c r="S1246" s="11" t="s">
        <v>4524</v>
      </c>
      <c r="T1246" s="12"/>
      <c r="U1246" s="10" t="str">
        <f>HYPERLINK("https://pbs.twimg.com/profile_images/719648419925594113/OnR0XNMn.jpg","View")</f>
        <v>View</v>
      </c>
    </row>
    <row r="1247" spans="1:21" ht="51">
      <c r="A1247" s="6">
        <v>43424.217650462961</v>
      </c>
      <c r="B1247" s="7" t="str">
        <f>HYPERLINK("https://twitter.com/towertattoo","@towertattoo")</f>
        <v>@towertattoo</v>
      </c>
      <c r="C1247" s="8" t="s">
        <v>4525</v>
      </c>
      <c r="D1247" s="9" t="s">
        <v>4526</v>
      </c>
      <c r="E1247" s="10" t="str">
        <f>HYPERLINK("https://twitter.com/towertattoo/status/1064869324190609408","1064869324190609408")</f>
        <v>1064869324190609408</v>
      </c>
      <c r="F1247" s="12"/>
      <c r="G1247" s="12"/>
      <c r="H1247" s="12"/>
      <c r="I1247" s="13">
        <v>0</v>
      </c>
      <c r="J1247" s="13">
        <v>0</v>
      </c>
      <c r="K1247" s="14" t="str">
        <f>HYPERLINK("http://twitter.com/download/android","Twitter for Android")</f>
        <v>Twitter for Android</v>
      </c>
      <c r="L1247" s="13">
        <v>12</v>
      </c>
      <c r="M1247" s="13">
        <v>26</v>
      </c>
      <c r="N1247" s="13">
        <v>0</v>
      </c>
      <c r="O1247" s="15"/>
      <c r="P1247" s="6">
        <v>42815.09856481482</v>
      </c>
      <c r="Q1247" s="17" t="s">
        <v>338</v>
      </c>
      <c r="R1247" s="16" t="s">
        <v>4527</v>
      </c>
      <c r="S1247" s="12"/>
      <c r="T1247" s="12"/>
      <c r="U1247" s="10" t="str">
        <f>HYPERLINK("https://pbs.twimg.com/profile_images/1040203649283248129/3d-4eGo1.jpg","View")</f>
        <v>View</v>
      </c>
    </row>
    <row r="1248" spans="1:21" ht="51">
      <c r="A1248" s="6">
        <v>43424.216874999998</v>
      </c>
      <c r="B1248" s="7" t="str">
        <f>HYPERLINK("https://twitter.com/alazanazul","@alazanazul")</f>
        <v>@alazanazul</v>
      </c>
      <c r="C1248" s="8" t="s">
        <v>4528</v>
      </c>
      <c r="D1248" s="9" t="s">
        <v>4529</v>
      </c>
      <c r="E1248" s="10" t="str">
        <f>HYPERLINK("https://twitter.com/alazanazul/status/1064869042866003973","1064869042866003973")</f>
        <v>1064869042866003973</v>
      </c>
      <c r="F1248" s="11" t="s">
        <v>3263</v>
      </c>
      <c r="G1248" s="12"/>
      <c r="H1248" s="12"/>
      <c r="I1248" s="13">
        <v>1</v>
      </c>
      <c r="J1248" s="13">
        <v>0</v>
      </c>
      <c r="K1248" s="14" t="str">
        <f>HYPERLINK("http://twitter.com/download/iphone","Twitter for iPhone")</f>
        <v>Twitter for iPhone</v>
      </c>
      <c r="L1248" s="13">
        <v>747</v>
      </c>
      <c r="M1248" s="13">
        <v>712</v>
      </c>
      <c r="N1248" s="13">
        <v>9</v>
      </c>
      <c r="O1248" s="15"/>
      <c r="P1248" s="6">
        <v>40738.434560185182</v>
      </c>
      <c r="Q1248" s="17" t="s">
        <v>340</v>
      </c>
      <c r="R1248" s="16" t="s">
        <v>4530</v>
      </c>
      <c r="S1248" s="12"/>
      <c r="T1248" s="12"/>
      <c r="U1248" s="10" t="str">
        <f>HYPERLINK("https://pbs.twimg.com/profile_images/1030471893613260800/VohR1mVY.jpg","View")</f>
        <v>View</v>
      </c>
    </row>
    <row r="1249" spans="1:21" ht="30.6">
      <c r="A1249" s="6">
        <v>43424.216261574074</v>
      </c>
      <c r="B1249" s="7" t="str">
        <f>HYPERLINK("https://twitter.com/coffeebreak_es","@coffeebreak_es")</f>
        <v>@coffeebreak_es</v>
      </c>
      <c r="C1249" s="8" t="s">
        <v>4531</v>
      </c>
      <c r="D1249" s="9" t="s">
        <v>4532</v>
      </c>
      <c r="E1249" s="10" t="str">
        <f>HYPERLINK("https://twitter.com/coffeebreak_es/status/1064868819536093184","1064868819536093184")</f>
        <v>1064868819536093184</v>
      </c>
      <c r="F1249" s="11" t="s">
        <v>4533</v>
      </c>
      <c r="G1249" s="12"/>
      <c r="H1249" s="12"/>
      <c r="I1249" s="13">
        <v>0</v>
      </c>
      <c r="J1249" s="13">
        <v>0</v>
      </c>
      <c r="K1249" s="14" t="str">
        <f>HYPERLINK("https://ifttt.com","IFTTT")</f>
        <v>IFTTT</v>
      </c>
      <c r="L1249" s="13">
        <v>1896</v>
      </c>
      <c r="M1249" s="13">
        <v>1950</v>
      </c>
      <c r="N1249" s="13">
        <v>39</v>
      </c>
      <c r="O1249" s="15"/>
      <c r="P1249" s="6">
        <v>41130.851909722223</v>
      </c>
      <c r="Q1249" s="12"/>
      <c r="R1249" s="16" t="s">
        <v>4534</v>
      </c>
      <c r="S1249" s="11" t="s">
        <v>4535</v>
      </c>
      <c r="T1249" s="12"/>
      <c r="U1249" s="10" t="str">
        <f>HYPERLINK("https://pbs.twimg.com/profile_images/2487542189/perfil.jpg","View")</f>
        <v>View</v>
      </c>
    </row>
    <row r="1250" spans="1:21" ht="40.799999999999997">
      <c r="A1250" s="6">
        <v>43424.216006944444</v>
      </c>
      <c r="B1250" s="7" t="str">
        <f>HYPERLINK("https://twitter.com/tamenobregon","@tamenobregon")</f>
        <v>@tamenobregon</v>
      </c>
      <c r="C1250" s="8" t="s">
        <v>4503</v>
      </c>
      <c r="D1250" s="9" t="s">
        <v>4536</v>
      </c>
      <c r="E1250" s="10" t="str">
        <f>HYPERLINK("https://twitter.com/tamenobregon/status/1064868725608849408","1064868725608849408")</f>
        <v>1064868725608849408</v>
      </c>
      <c r="F1250" s="12"/>
      <c r="G1250" s="12"/>
      <c r="H1250" s="12"/>
      <c r="I1250" s="13">
        <v>0</v>
      </c>
      <c r="J1250" s="13">
        <v>0</v>
      </c>
      <c r="K1250" s="14" t="str">
        <f>HYPERLINK("https://mobile.twitter.com","Twitter Lite")</f>
        <v>Twitter Lite</v>
      </c>
      <c r="L1250" s="13">
        <v>626</v>
      </c>
      <c r="M1250" s="13">
        <v>2787</v>
      </c>
      <c r="N1250" s="13">
        <v>8</v>
      </c>
      <c r="O1250" s="15"/>
      <c r="P1250" s="6">
        <v>40423.231874999998</v>
      </c>
      <c r="Q1250" s="17" t="s">
        <v>4505</v>
      </c>
      <c r="R1250" s="16" t="s">
        <v>4506</v>
      </c>
      <c r="S1250" s="12"/>
      <c r="T1250" s="12"/>
      <c r="U1250" s="10" t="str">
        <f>HYPERLINK("https://pbs.twimg.com/profile_images/808356047521976321/z9GX6N82.jpg","View")</f>
        <v>View</v>
      </c>
    </row>
    <row r="1251" spans="1:21" ht="30.6">
      <c r="A1251" s="6">
        <v>43424.215856481482</v>
      </c>
      <c r="B1251" s="7" t="str">
        <f>HYPERLINK("https://twitter.com/jid934","@jid934")</f>
        <v>@jid934</v>
      </c>
      <c r="C1251" s="8" t="s">
        <v>4537</v>
      </c>
      <c r="D1251" s="9" t="s">
        <v>4538</v>
      </c>
      <c r="E1251" s="10" t="str">
        <f>HYPERLINK("https://twitter.com/jid934/status/1064868672827731968","1064868672827731968")</f>
        <v>1064868672827731968</v>
      </c>
      <c r="F1251" s="11" t="s">
        <v>4539</v>
      </c>
      <c r="G1251" s="12"/>
      <c r="H1251" s="12"/>
      <c r="I1251" s="13">
        <v>0</v>
      </c>
      <c r="J1251" s="13">
        <v>0</v>
      </c>
      <c r="K1251" s="14" t="str">
        <f>HYPERLINK("http://twitter.com/download/iphone","Twitter for iPhone")</f>
        <v>Twitter for iPhone</v>
      </c>
      <c r="L1251" s="13">
        <v>340</v>
      </c>
      <c r="M1251" s="13">
        <v>704</v>
      </c>
      <c r="N1251" s="13">
        <v>0</v>
      </c>
      <c r="O1251" s="15"/>
      <c r="P1251" s="6">
        <v>42644.375891203701</v>
      </c>
      <c r="Q1251" s="17" t="s">
        <v>4540</v>
      </c>
      <c r="R1251" s="16" t="s">
        <v>4541</v>
      </c>
      <c r="S1251" s="11" t="s">
        <v>4542</v>
      </c>
      <c r="T1251" s="12"/>
      <c r="U1251" s="10" t="str">
        <f>HYPERLINK("https://pbs.twimg.com/profile_images/1018444379613261824/9ucjrX9q.jpg","View")</f>
        <v>View</v>
      </c>
    </row>
    <row r="1252" spans="1:21" ht="40.799999999999997">
      <c r="A1252" s="6">
        <v>43424.215740740736</v>
      </c>
      <c r="B1252" s="7" t="str">
        <f>HYPERLINK("https://twitter.com/Joseluiscalvoch","@Joseluiscalvoch")</f>
        <v>@Joseluiscalvoch</v>
      </c>
      <c r="C1252" s="8" t="s">
        <v>4543</v>
      </c>
      <c r="D1252" s="9" t="s">
        <v>4301</v>
      </c>
      <c r="E1252" s="10" t="str">
        <f>HYPERLINK("https://twitter.com/Joseluiscalvoch/status/1064868632323399680","1064868632323399680")</f>
        <v>1064868632323399680</v>
      </c>
      <c r="F1252" s="11" t="s">
        <v>4302</v>
      </c>
      <c r="G1252" s="12"/>
      <c r="H1252" s="12"/>
      <c r="I1252" s="13">
        <v>0</v>
      </c>
      <c r="J1252" s="13">
        <v>0</v>
      </c>
      <c r="K1252" s="14" t="str">
        <f>HYPERLINK("http://twitter.com/#!/download/ipad","Twitter for iPad")</f>
        <v>Twitter for iPad</v>
      </c>
      <c r="L1252" s="13">
        <v>1338</v>
      </c>
      <c r="M1252" s="13">
        <v>1832</v>
      </c>
      <c r="N1252" s="13">
        <v>20</v>
      </c>
      <c r="O1252" s="15"/>
      <c r="P1252" s="6">
        <v>41575.663622685184</v>
      </c>
      <c r="Q1252" s="12"/>
      <c r="R1252" s="16" t="s">
        <v>4544</v>
      </c>
      <c r="S1252" s="12"/>
      <c r="T1252" s="12"/>
      <c r="U1252" s="10" t="str">
        <f>HYPERLINK("https://pbs.twimg.com/profile_images/378800000727472778/b2524f53e372848ff2d1d782ffe3fb6e.jpeg","View")</f>
        <v>View</v>
      </c>
    </row>
    <row r="1253" spans="1:21" ht="30.6">
      <c r="A1253" s="6">
        <v>43424.215474537035</v>
      </c>
      <c r="B1253" s="7" t="str">
        <f>HYPERLINK("https://twitter.com/superfrikadas","@superfrikadas")</f>
        <v>@superfrikadas</v>
      </c>
      <c r="C1253" s="8" t="s">
        <v>4545</v>
      </c>
      <c r="D1253" s="9" t="s">
        <v>3391</v>
      </c>
      <c r="E1253" s="10" t="str">
        <f>HYPERLINK("https://twitter.com/superfrikadas/status/1064868532951879684","1064868532951879684")</f>
        <v>1064868532951879684</v>
      </c>
      <c r="F1253" s="11" t="s">
        <v>4546</v>
      </c>
      <c r="G1253" s="12"/>
      <c r="H1253" s="12"/>
      <c r="I1253" s="13">
        <v>0</v>
      </c>
      <c r="J1253" s="13">
        <v>0</v>
      </c>
      <c r="K1253" s="14" t="str">
        <f t="shared" ref="K1253:K1256" si="226">HYPERLINK("https://ifttt.com","IFTTT")</f>
        <v>IFTTT</v>
      </c>
      <c r="L1253" s="13">
        <v>190</v>
      </c>
      <c r="M1253" s="13">
        <v>282</v>
      </c>
      <c r="N1253" s="13">
        <v>3</v>
      </c>
      <c r="O1253" s="15"/>
      <c r="P1253" s="6">
        <v>41353.43141203704</v>
      </c>
      <c r="Q1253" s="12"/>
      <c r="R1253" s="16" t="s">
        <v>4547</v>
      </c>
      <c r="S1253" s="12"/>
      <c r="T1253" s="12"/>
      <c r="U1253" s="10" t="str">
        <f>HYPERLINK("https://pbs.twimg.com/profile_images/3405874835/53b5900aba110e29242ffac23cc07571.jpeg","View")</f>
        <v>View</v>
      </c>
    </row>
    <row r="1254" spans="1:21" ht="30.6">
      <c r="A1254" s="6">
        <v>43424.214178240742</v>
      </c>
      <c r="B1254" s="7" t="str">
        <f>HYPERLINK("https://twitter.com/gabriel_perpet","@gabriel_perpet")</f>
        <v>@gabriel_perpet</v>
      </c>
      <c r="C1254" s="8" t="s">
        <v>4548</v>
      </c>
      <c r="D1254" s="9" t="s">
        <v>3391</v>
      </c>
      <c r="E1254" s="10" t="str">
        <f>HYPERLINK("https://twitter.com/gabriel_perpet/status/1064868063705739266","1064868063705739266")</f>
        <v>1064868063705739266</v>
      </c>
      <c r="F1254" s="17" t="s">
        <v>4549</v>
      </c>
      <c r="G1254" s="12"/>
      <c r="H1254" s="12"/>
      <c r="I1254" s="13">
        <v>0</v>
      </c>
      <c r="J1254" s="13">
        <v>0</v>
      </c>
      <c r="K1254" s="14" t="str">
        <f t="shared" si="226"/>
        <v>IFTTT</v>
      </c>
      <c r="L1254" s="13">
        <v>59</v>
      </c>
      <c r="M1254" s="13">
        <v>199</v>
      </c>
      <c r="N1254" s="13">
        <v>6</v>
      </c>
      <c r="O1254" s="15"/>
      <c r="P1254" s="6">
        <v>41766.026354166665</v>
      </c>
      <c r="Q1254" s="12"/>
      <c r="R1254" s="16" t="s">
        <v>4550</v>
      </c>
      <c r="S1254" s="12"/>
      <c r="T1254" s="12"/>
      <c r="U1254" s="10" t="str">
        <f>HYPERLINK("https://pbs.twimg.com/profile_images/463951359914414080/rEgqBlkY.jpeg","View")</f>
        <v>View</v>
      </c>
    </row>
    <row r="1255" spans="1:21" ht="20.399999999999999">
      <c r="A1255" s="6">
        <v>43424.214131944449</v>
      </c>
      <c r="B1255" s="7" t="str">
        <f>HYPERLINK("https://twitter.com/adelacafe93","@adelacafe93")</f>
        <v>@adelacafe93</v>
      </c>
      <c r="C1255" s="8" t="s">
        <v>658</v>
      </c>
      <c r="D1255" s="9" t="s">
        <v>4489</v>
      </c>
      <c r="E1255" s="10" t="str">
        <f>HYPERLINK("https://twitter.com/adelacafe93/status/1064868045636669441","1064868045636669441")</f>
        <v>1064868045636669441</v>
      </c>
      <c r="F1255" s="11" t="s">
        <v>4551</v>
      </c>
      <c r="G1255" s="12"/>
      <c r="H1255" s="12"/>
      <c r="I1255" s="13">
        <v>0</v>
      </c>
      <c r="J1255" s="13">
        <v>0</v>
      </c>
      <c r="K1255" s="14" t="str">
        <f t="shared" si="226"/>
        <v>IFTTT</v>
      </c>
      <c r="L1255" s="13">
        <v>18</v>
      </c>
      <c r="M1255" s="13">
        <v>47</v>
      </c>
      <c r="N1255" s="13">
        <v>0</v>
      </c>
      <c r="O1255" s="15"/>
      <c r="P1255" s="6">
        <v>42761.240034722221</v>
      </c>
      <c r="Q1255" s="17" t="s">
        <v>660</v>
      </c>
      <c r="R1255" s="16" t="s">
        <v>661</v>
      </c>
      <c r="S1255" s="12"/>
      <c r="T1255" s="12"/>
      <c r="U1255" s="10" t="str">
        <f>HYPERLINK("https://pbs.twimg.com/profile_images/824614694078013444/fkDV_Y0Z.jpg","View")</f>
        <v>View</v>
      </c>
    </row>
    <row r="1256" spans="1:21" ht="20.399999999999999">
      <c r="A1256" s="6">
        <v>43424.214074074072</v>
      </c>
      <c r="B1256" s="7" t="str">
        <f>HYPERLINK("https://twitter.com/titulares24hora","@titulares24hora")</f>
        <v>@titulares24hora</v>
      </c>
      <c r="C1256" s="8" t="s">
        <v>654</v>
      </c>
      <c r="D1256" s="9" t="s">
        <v>4489</v>
      </c>
      <c r="E1256" s="10" t="str">
        <f>HYPERLINK("https://twitter.com/titulares24hora/status/1064868025709539328","1064868025709539328")</f>
        <v>1064868025709539328</v>
      </c>
      <c r="F1256" s="12"/>
      <c r="G1256" s="12"/>
      <c r="H1256" s="12"/>
      <c r="I1256" s="13">
        <v>0</v>
      </c>
      <c r="J1256" s="13">
        <v>0</v>
      </c>
      <c r="K1256" s="14" t="str">
        <f t="shared" si="226"/>
        <v>IFTTT</v>
      </c>
      <c r="L1256" s="13">
        <v>394</v>
      </c>
      <c r="M1256" s="13">
        <v>1463</v>
      </c>
      <c r="N1256" s="13">
        <v>2</v>
      </c>
      <c r="O1256" s="15"/>
      <c r="P1256" s="6">
        <v>42508.071805555555</v>
      </c>
      <c r="Q1256" s="12"/>
      <c r="R1256" s="16" t="s">
        <v>655</v>
      </c>
      <c r="S1256" s="12"/>
      <c r="T1256" s="12"/>
      <c r="U1256" s="10" t="str">
        <f>HYPERLINK("https://pbs.twimg.com/profile_images/732855169034166272/A8O2LY2J.jpg","View")</f>
        <v>View</v>
      </c>
    </row>
    <row r="1257" spans="1:21" ht="40.799999999999997">
      <c r="A1257" s="6">
        <v>43424.211793981478</v>
      </c>
      <c r="B1257" s="7" t="str">
        <f>HYPERLINK("https://twitter.com/ElMundoEspana","@ElMundoEspana")</f>
        <v>@ElMundoEspana</v>
      </c>
      <c r="C1257" s="8" t="s">
        <v>2381</v>
      </c>
      <c r="D1257" s="9" t="s">
        <v>4489</v>
      </c>
      <c r="E1257" s="10" t="str">
        <f>HYPERLINK("https://twitter.com/ElMundoEspana/status/1064867201377816577","1064867201377816577")</f>
        <v>1064867201377816577</v>
      </c>
      <c r="F1257" s="11" t="s">
        <v>3168</v>
      </c>
      <c r="G1257" s="12"/>
      <c r="H1257" s="12"/>
      <c r="I1257" s="13">
        <v>0</v>
      </c>
      <c r="J1257" s="13">
        <v>0</v>
      </c>
      <c r="K1257" s="14" t="str">
        <f>HYPERLINK("http://twitter.com","Twitter Web Client")</f>
        <v>Twitter Web Client</v>
      </c>
      <c r="L1257" s="13">
        <v>17967</v>
      </c>
      <c r="M1257" s="13">
        <v>654</v>
      </c>
      <c r="N1257" s="13">
        <v>350</v>
      </c>
      <c r="O1257" s="19" t="s">
        <v>74</v>
      </c>
      <c r="P1257" s="6">
        <v>42089.082106481481</v>
      </c>
      <c r="Q1257" s="12"/>
      <c r="R1257" s="16" t="s">
        <v>2383</v>
      </c>
      <c r="S1257" s="11" t="s">
        <v>2384</v>
      </c>
      <c r="T1257" s="12"/>
      <c r="U1257" s="10" t="str">
        <f>HYPERLINK("https://pbs.twimg.com/profile_images/780431237555032064/H6v83dkC.jpg","View")</f>
        <v>View</v>
      </c>
    </row>
    <row r="1258" spans="1:21" ht="40.799999999999997">
      <c r="A1258" s="6">
        <v>43424.208333333328</v>
      </c>
      <c r="B1258" s="7" t="str">
        <f>HYPERLINK("https://twitter.com/LaVozdelBecario","@LaVozdelBecario")</f>
        <v>@LaVozdelBecario</v>
      </c>
      <c r="C1258" s="8" t="s">
        <v>4552</v>
      </c>
      <c r="D1258" s="9" t="s">
        <v>4553</v>
      </c>
      <c r="E1258" s="10" t="str">
        <f>HYPERLINK("https://twitter.com/LaVozdelBecario/status/1064865945787625472","1064865945787625472")</f>
        <v>1064865945787625472</v>
      </c>
      <c r="F1258" s="12"/>
      <c r="G1258" s="12"/>
      <c r="H1258" s="12"/>
      <c r="I1258" s="13">
        <v>14</v>
      </c>
      <c r="J1258" s="13">
        <v>34</v>
      </c>
      <c r="K1258" s="14" t="str">
        <f>HYPERLINK("https://ads-api.twitter.com","Twitter Ads Composer")</f>
        <v>Twitter Ads Composer</v>
      </c>
      <c r="L1258" s="13">
        <v>12072</v>
      </c>
      <c r="M1258" s="13">
        <v>3292</v>
      </c>
      <c r="N1258" s="13">
        <v>78</v>
      </c>
      <c r="O1258" s="15"/>
      <c r="P1258" s="6">
        <v>42687.76390046296</v>
      </c>
      <c r="Q1258" s="17" t="s">
        <v>29</v>
      </c>
      <c r="R1258" s="16" t="s">
        <v>4554</v>
      </c>
      <c r="S1258" s="11" t="s">
        <v>4555</v>
      </c>
      <c r="T1258" s="12"/>
      <c r="U1258" s="10" t="str">
        <f>HYPERLINK("https://pbs.twimg.com/profile_images/1027803907509170176/_o4a3hgY.jpg","View")</f>
        <v>View</v>
      </c>
    </row>
    <row r="1259" spans="1:21" ht="20.399999999999999">
      <c r="A1259" s="6">
        <v>43424.207604166666</v>
      </c>
      <c r="B1259" s="7" t="str">
        <f>HYPERLINK("https://twitter.com/inmoaverycom","@inmoaverycom")</f>
        <v>@inmoaverycom</v>
      </c>
      <c r="C1259" s="20" t="s">
        <v>4556</v>
      </c>
      <c r="D1259" s="9" t="s">
        <v>4557</v>
      </c>
      <c r="E1259" s="10" t="str">
        <f>HYPERLINK("https://twitter.com/inmoaverycom/status/1064865680674209792","1064865680674209792")</f>
        <v>1064865680674209792</v>
      </c>
      <c r="F1259" s="11" t="s">
        <v>4558</v>
      </c>
      <c r="G1259" s="12"/>
      <c r="H1259" s="12"/>
      <c r="I1259" s="13">
        <v>0</v>
      </c>
      <c r="J1259" s="13">
        <v>0</v>
      </c>
      <c r="K1259" s="14" t="str">
        <f>HYPERLINK("http://twitter.com","Twitter Web Client")</f>
        <v>Twitter Web Client</v>
      </c>
      <c r="L1259" s="13">
        <v>771</v>
      </c>
      <c r="M1259" s="13">
        <v>1966</v>
      </c>
      <c r="N1259" s="13">
        <v>12</v>
      </c>
      <c r="O1259" s="15"/>
      <c r="P1259" s="6">
        <v>40871.158506944441</v>
      </c>
      <c r="Q1259" s="17" t="s">
        <v>4559</v>
      </c>
      <c r="R1259" s="16" t="s">
        <v>4560</v>
      </c>
      <c r="S1259" s="11" t="s">
        <v>4561</v>
      </c>
      <c r="T1259" s="12"/>
      <c r="U1259" s="10" t="str">
        <f>HYPERLINK("https://pbs.twimg.com/profile_images/537680086862798848/f8XEPU_F.jpeg","View")</f>
        <v>View</v>
      </c>
    </row>
    <row r="1260" spans="1:21" ht="40.799999999999997">
      <c r="A1260" s="6">
        <v>43424.206666666665</v>
      </c>
      <c r="B1260" s="7" t="str">
        <f>HYPERLINK("https://twitter.com/PartidoRepEs","@PartidoRepEs")</f>
        <v>@PartidoRepEs</v>
      </c>
      <c r="C1260" s="8" t="s">
        <v>573</v>
      </c>
      <c r="D1260" s="9" t="s">
        <v>4562</v>
      </c>
      <c r="E1260" s="10" t="str">
        <f>HYPERLINK("https://twitter.com/PartidoRepEs/status/1064865344010010625","1064865344010010625")</f>
        <v>1064865344010010625</v>
      </c>
      <c r="F1260" s="12"/>
      <c r="G1260" s="11" t="s">
        <v>4563</v>
      </c>
      <c r="H1260" s="12"/>
      <c r="I1260" s="13">
        <v>1</v>
      </c>
      <c r="J1260" s="13">
        <v>1</v>
      </c>
      <c r="K1260" s="14" t="str">
        <f>HYPERLINK("http://twitter.com/download/android","Twitter for Android")</f>
        <v>Twitter for Android</v>
      </c>
      <c r="L1260" s="13">
        <v>4374</v>
      </c>
      <c r="M1260" s="13">
        <v>4995</v>
      </c>
      <c r="N1260" s="13">
        <v>25</v>
      </c>
      <c r="O1260" s="15"/>
      <c r="P1260" s="6">
        <v>42183.345682870371</v>
      </c>
      <c r="Q1260" s="12"/>
      <c r="R1260" s="16" t="s">
        <v>575</v>
      </c>
      <c r="S1260" s="11" t="s">
        <v>576</v>
      </c>
      <c r="T1260" s="12"/>
      <c r="U1260" s="10" t="str">
        <f>HYPERLINK("https://pbs.twimg.com/profile_images/615180335417040901/p8IX-96B.jpg","View")</f>
        <v>View</v>
      </c>
    </row>
    <row r="1261" spans="1:21" ht="51">
      <c r="A1261" s="6">
        <v>43424.205150462964</v>
      </c>
      <c r="B1261" s="7" t="str">
        <f>HYPERLINK("https://twitter.com/gabricax","@gabricax")</f>
        <v>@gabricax</v>
      </c>
      <c r="C1261" s="8" t="s">
        <v>4564</v>
      </c>
      <c r="D1261" s="9" t="s">
        <v>4565</v>
      </c>
      <c r="E1261" s="10" t="str">
        <f>HYPERLINK("https://twitter.com/gabricax/status/1064864793172037632","1064864793172037632")</f>
        <v>1064864793172037632</v>
      </c>
      <c r="F1261" s="12"/>
      <c r="G1261" s="12"/>
      <c r="H1261" s="12"/>
      <c r="I1261" s="13">
        <v>0</v>
      </c>
      <c r="J1261" s="13">
        <v>1</v>
      </c>
      <c r="K1261" s="14" t="str">
        <f>HYPERLINK("http://twitter.com","Twitter Web Client")</f>
        <v>Twitter Web Client</v>
      </c>
      <c r="L1261" s="13">
        <v>2397</v>
      </c>
      <c r="M1261" s="13">
        <v>1805</v>
      </c>
      <c r="N1261" s="13">
        <v>174</v>
      </c>
      <c r="O1261" s="15"/>
      <c r="P1261" s="6">
        <v>40624.50304398148</v>
      </c>
      <c r="Q1261" s="17" t="s">
        <v>76</v>
      </c>
      <c r="R1261" s="16" t="s">
        <v>4566</v>
      </c>
      <c r="S1261" s="12"/>
      <c r="T1261" s="12"/>
      <c r="U1261" s="10" t="str">
        <f>HYPERLINK("https://pbs.twimg.com/profile_images/1053942833063907328/TN13XmZ_.jpg","View")</f>
        <v>View</v>
      </c>
    </row>
    <row r="1262" spans="1:21" ht="51">
      <c r="A1262" s="6">
        <v>43424.204675925925</v>
      </c>
      <c r="B1262" s="7" t="str">
        <f>HYPERLINK("https://twitter.com/santia2015","@santia2015")</f>
        <v>@santia2015</v>
      </c>
      <c r="C1262" s="8" t="s">
        <v>4568</v>
      </c>
      <c r="D1262" s="9" t="s">
        <v>4569</v>
      </c>
      <c r="E1262" s="10" t="str">
        <f>HYPERLINK("https://twitter.com/santia2015/status/1064864621524381696","1064864621524381696")</f>
        <v>1064864621524381696</v>
      </c>
      <c r="F1262" s="12"/>
      <c r="G1262" s="11" t="s">
        <v>4570</v>
      </c>
      <c r="H1262" s="12"/>
      <c r="I1262" s="13">
        <v>12</v>
      </c>
      <c r="J1262" s="13">
        <v>21</v>
      </c>
      <c r="K1262" s="14" t="str">
        <f>HYPERLINK("http://twitter.com/download/iphone","Twitter for iPhone")</f>
        <v>Twitter for iPhone</v>
      </c>
      <c r="L1262" s="13">
        <v>1017</v>
      </c>
      <c r="M1262" s="13">
        <v>234</v>
      </c>
      <c r="N1262" s="13">
        <v>43</v>
      </c>
      <c r="O1262" s="19" t="s">
        <v>74</v>
      </c>
      <c r="P1262" s="6">
        <v>42044.362557870365</v>
      </c>
      <c r="Q1262" s="12"/>
      <c r="R1262" s="16" t="s">
        <v>4571</v>
      </c>
      <c r="S1262" s="11" t="s">
        <v>4572</v>
      </c>
      <c r="T1262" s="12"/>
      <c r="U1262" s="10" t="str">
        <f>HYPERLINK("https://pbs.twimg.com/profile_images/885593047928639489/rtz0fuJz.jpg","View")</f>
        <v>View</v>
      </c>
    </row>
    <row r="1263" spans="1:21" ht="30.6">
      <c r="A1263" s="6">
        <v>43424.20447916667</v>
      </c>
      <c r="B1263" s="7" t="str">
        <f>HYPERLINK("https://twitter.com/jcarloslh","@jcarloslh")</f>
        <v>@jcarloslh</v>
      </c>
      <c r="C1263" s="8" t="s">
        <v>2370</v>
      </c>
      <c r="D1263" s="9" t="s">
        <v>4573</v>
      </c>
      <c r="E1263" s="10" t="str">
        <f>HYPERLINK("https://twitter.com/jcarloslh/status/1064864551164874753","1064864551164874753")</f>
        <v>1064864551164874753</v>
      </c>
      <c r="F1263" s="11" t="s">
        <v>4574</v>
      </c>
      <c r="G1263" s="12"/>
      <c r="H1263" s="12"/>
      <c r="I1263" s="13">
        <v>0</v>
      </c>
      <c r="J1263" s="13">
        <v>0</v>
      </c>
      <c r="K1263" s="14" t="str">
        <f>HYPERLINK("http://www.facebook.com/twitter","Facebook")</f>
        <v>Facebook</v>
      </c>
      <c r="L1263" s="13">
        <v>186</v>
      </c>
      <c r="M1263" s="13">
        <v>190</v>
      </c>
      <c r="N1263" s="13">
        <v>9</v>
      </c>
      <c r="O1263" s="15"/>
      <c r="P1263" s="6">
        <v>40433.54041666667</v>
      </c>
      <c r="Q1263" s="17" t="s">
        <v>29</v>
      </c>
      <c r="R1263" s="18"/>
      <c r="S1263" s="12"/>
      <c r="T1263" s="12"/>
      <c r="U1263" s="10" t="str">
        <f>HYPERLINK("https://pbs.twimg.com/profile_images/3399813895/ffa75fdcb08baf5251d475f9fca4c818.jpeg","View")</f>
        <v>View</v>
      </c>
    </row>
    <row r="1264" spans="1:21" ht="30.6">
      <c r="A1264" s="6">
        <v>43424.202685185184</v>
      </c>
      <c r="B1264" s="7" t="str">
        <f>HYPERLINK("https://twitter.com/pressdigital","@pressdigital")</f>
        <v>@pressdigital</v>
      </c>
      <c r="C1264" s="8" t="s">
        <v>4575</v>
      </c>
      <c r="D1264" s="9" t="s">
        <v>4576</v>
      </c>
      <c r="E1264" s="10" t="str">
        <f>HYPERLINK("https://twitter.com/pressdigital/status/1064863899017756678","1064863899017756678")</f>
        <v>1064863899017756678</v>
      </c>
      <c r="F1264" s="11" t="s">
        <v>4577</v>
      </c>
      <c r="G1264" s="12"/>
      <c r="H1264" s="12"/>
      <c r="I1264" s="13">
        <v>0</v>
      </c>
      <c r="J1264" s="13">
        <v>0</v>
      </c>
      <c r="K1264" s="14" t="str">
        <f>HYPERLINK("https://ifttt.com","IFTTT")</f>
        <v>IFTTT</v>
      </c>
      <c r="L1264" s="13">
        <v>1203</v>
      </c>
      <c r="M1264" s="13">
        <v>1054</v>
      </c>
      <c r="N1264" s="13">
        <v>73</v>
      </c>
      <c r="O1264" s="15"/>
      <c r="P1264" s="6">
        <v>40142.461041666669</v>
      </c>
      <c r="Q1264" s="17" t="s">
        <v>29</v>
      </c>
      <c r="R1264" s="16" t="s">
        <v>4578</v>
      </c>
      <c r="S1264" s="11" t="s">
        <v>4579</v>
      </c>
      <c r="T1264" s="12"/>
      <c r="U1264" s="10" t="str">
        <f>HYPERLINK("https://pbs.twimg.com/profile_images/686495616231444480/68bUHQ6J.jpg","View")</f>
        <v>View</v>
      </c>
    </row>
    <row r="1265" spans="1:21" ht="40.799999999999997">
      <c r="A1265" s="6">
        <v>43424.202662037038</v>
      </c>
      <c r="B1265" s="7" t="str">
        <f>HYPERLINK("https://twitter.com/patricialopezl","@patricialopezl")</f>
        <v>@patricialopezl</v>
      </c>
      <c r="C1265" s="8" t="s">
        <v>4580</v>
      </c>
      <c r="D1265" s="9" t="s">
        <v>4581</v>
      </c>
      <c r="E1265" s="10" t="str">
        <f>HYPERLINK("https://twitter.com/patricialopezl/status/1064863891342192640","1064863891342192640")</f>
        <v>1064863891342192640</v>
      </c>
      <c r="F1265" s="12"/>
      <c r="G1265" s="11" t="s">
        <v>4582</v>
      </c>
      <c r="H1265" s="12"/>
      <c r="I1265" s="13">
        <v>85</v>
      </c>
      <c r="J1265" s="13">
        <v>103</v>
      </c>
      <c r="K1265" s="14" t="str">
        <f t="shared" ref="K1265:K1268" si="227">HYPERLINK("http://twitter.com/download/android","Twitter for Android")</f>
        <v>Twitter for Android</v>
      </c>
      <c r="L1265" s="13">
        <v>64522</v>
      </c>
      <c r="M1265" s="13">
        <v>3718</v>
      </c>
      <c r="N1265" s="13">
        <v>602</v>
      </c>
      <c r="O1265" s="15"/>
      <c r="P1265" s="6">
        <v>40259.472453703704</v>
      </c>
      <c r="Q1265" s="12"/>
      <c r="R1265" s="16" t="s">
        <v>4583</v>
      </c>
      <c r="S1265" s="11" t="s">
        <v>1825</v>
      </c>
      <c r="T1265" s="12"/>
      <c r="U1265" s="10" t="str">
        <f>HYPERLINK("https://pbs.twimg.com/profile_images/1050122996030074880/c7Vkt0Hn.jpg","View")</f>
        <v>View</v>
      </c>
    </row>
    <row r="1266" spans="1:21" ht="30.6">
      <c r="A1266" s="6">
        <v>43424.202175925922</v>
      </c>
      <c r="B1266" s="7" t="str">
        <f>HYPERLINK("https://twitter.com/MikelGomezGar","@MikelGomezGar")</f>
        <v>@MikelGomezGar</v>
      </c>
      <c r="C1266" s="8" t="s">
        <v>4584</v>
      </c>
      <c r="D1266" s="9" t="s">
        <v>4585</v>
      </c>
      <c r="E1266" s="10" t="str">
        <f>HYPERLINK("https://twitter.com/MikelGomezGar/status/1064863712958390272","1064863712958390272")</f>
        <v>1064863712958390272</v>
      </c>
      <c r="F1266" s="12"/>
      <c r="G1266" s="12"/>
      <c r="H1266" s="12"/>
      <c r="I1266" s="13">
        <v>0</v>
      </c>
      <c r="J1266" s="13">
        <v>1</v>
      </c>
      <c r="K1266" s="14" t="str">
        <f t="shared" si="227"/>
        <v>Twitter for Android</v>
      </c>
      <c r="L1266" s="13">
        <v>1236</v>
      </c>
      <c r="M1266" s="13">
        <v>1325</v>
      </c>
      <c r="N1266" s="13">
        <v>52</v>
      </c>
      <c r="O1266" s="15"/>
      <c r="P1266" s="6">
        <v>40461.668356481481</v>
      </c>
      <c r="Q1266" s="17" t="s">
        <v>1036</v>
      </c>
      <c r="R1266" s="16" t="s">
        <v>4586</v>
      </c>
      <c r="S1266" s="11" t="s">
        <v>4587</v>
      </c>
      <c r="T1266" s="12"/>
      <c r="U1266" s="10" t="str">
        <f>HYPERLINK("https://pbs.twimg.com/profile_images/937760054777958401/N1hKBOv5.jpg","View")</f>
        <v>View</v>
      </c>
    </row>
    <row r="1267" spans="1:21" ht="20.399999999999999">
      <c r="A1267" s="6">
        <v>43424.201273148152</v>
      </c>
      <c r="B1267" s="7" t="str">
        <f>HYPERLINK("https://twitter.com/LucioRecalde","@LucioRecalde")</f>
        <v>@LucioRecalde</v>
      </c>
      <c r="C1267" s="8" t="s">
        <v>4588</v>
      </c>
      <c r="D1267" s="9" t="s">
        <v>4589</v>
      </c>
      <c r="E1267" s="10" t="str">
        <f>HYPERLINK("https://twitter.com/LucioRecalde/status/1064863389275615232","1064863389275615232")</f>
        <v>1064863389275615232</v>
      </c>
      <c r="F1267" s="12"/>
      <c r="G1267" s="12"/>
      <c r="H1267" s="12"/>
      <c r="I1267" s="13">
        <v>0</v>
      </c>
      <c r="J1267" s="13">
        <v>0</v>
      </c>
      <c r="K1267" s="14" t="str">
        <f t="shared" si="227"/>
        <v>Twitter for Android</v>
      </c>
      <c r="L1267" s="13">
        <v>1399</v>
      </c>
      <c r="M1267" s="13">
        <v>1346</v>
      </c>
      <c r="N1267" s="13">
        <v>94</v>
      </c>
      <c r="O1267" s="15"/>
      <c r="P1267" s="6">
        <v>40768.280277777776</v>
      </c>
      <c r="Q1267" s="17" t="s">
        <v>1347</v>
      </c>
      <c r="R1267" s="16" t="s">
        <v>4590</v>
      </c>
      <c r="S1267" s="11" t="s">
        <v>4591</v>
      </c>
      <c r="T1267" s="12"/>
      <c r="U1267" s="10" t="str">
        <f>HYPERLINK("https://pbs.twimg.com/profile_images/1017363392959479809/OoBUyCIi.jpg","View")</f>
        <v>View</v>
      </c>
    </row>
    <row r="1268" spans="1:21" ht="30.6">
      <c r="A1268" s="6">
        <v>43424.201064814813</v>
      </c>
      <c r="B1268" s="7" t="str">
        <f>HYPERLINK("https://twitter.com/Nemesiswings","@Nemesiswings")</f>
        <v>@Nemesiswings</v>
      </c>
      <c r="C1268" s="8" t="s">
        <v>4592</v>
      </c>
      <c r="D1268" s="9" t="s">
        <v>4593</v>
      </c>
      <c r="E1268" s="10" t="str">
        <f>HYPERLINK("https://twitter.com/Nemesiswings/status/1064863313031503872","1064863313031503872")</f>
        <v>1064863313031503872</v>
      </c>
      <c r="F1268" s="12"/>
      <c r="G1268" s="12"/>
      <c r="H1268" s="12"/>
      <c r="I1268" s="13">
        <v>0</v>
      </c>
      <c r="J1268" s="13">
        <v>1</v>
      </c>
      <c r="K1268" s="14" t="str">
        <f t="shared" si="227"/>
        <v>Twitter for Android</v>
      </c>
      <c r="L1268" s="13">
        <v>788</v>
      </c>
      <c r="M1268" s="13">
        <v>150</v>
      </c>
      <c r="N1268" s="13">
        <v>10</v>
      </c>
      <c r="O1268" s="15"/>
      <c r="P1268" s="6">
        <v>42024.124351851853</v>
      </c>
      <c r="Q1268" s="12"/>
      <c r="R1268" s="16" t="s">
        <v>4594</v>
      </c>
      <c r="S1268" s="12"/>
      <c r="T1268" s="12"/>
      <c r="U1268" s="10" t="str">
        <f>HYPERLINK("https://pbs.twimg.com/profile_images/559451726944563200/6nQFi-CR.jpeg","View")</f>
        <v>View</v>
      </c>
    </row>
    <row r="1269" spans="1:21" ht="40.799999999999997">
      <c r="A1269" s="6">
        <v>43424.200648148151</v>
      </c>
      <c r="B1269" s="7" t="str">
        <f>HYPERLINK("https://twitter.com/elcharlysin","@elcharlysin")</f>
        <v>@elcharlysin</v>
      </c>
      <c r="C1269" s="8" t="s">
        <v>4595</v>
      </c>
      <c r="D1269" s="9" t="s">
        <v>4596</v>
      </c>
      <c r="E1269" s="10" t="str">
        <f>HYPERLINK("https://twitter.com/elcharlysin/status/1064863161852092416","1064863161852092416")</f>
        <v>1064863161852092416</v>
      </c>
      <c r="F1269" s="11" t="s">
        <v>4597</v>
      </c>
      <c r="G1269" s="12"/>
      <c r="H1269" s="12"/>
      <c r="I1269" s="13">
        <v>0</v>
      </c>
      <c r="J1269" s="13">
        <v>0</v>
      </c>
      <c r="K1269" s="14" t="str">
        <f>HYPERLINK("http://twitter.com/download/iphone","Twitter for iPhone")</f>
        <v>Twitter for iPhone</v>
      </c>
      <c r="L1269" s="13">
        <v>56</v>
      </c>
      <c r="M1269" s="13">
        <v>169</v>
      </c>
      <c r="N1269" s="13">
        <v>3</v>
      </c>
      <c r="O1269" s="15"/>
      <c r="P1269" s="6">
        <v>42407.282488425924</v>
      </c>
      <c r="Q1269" s="17" t="s">
        <v>4598</v>
      </c>
      <c r="R1269" s="16" t="s">
        <v>4599</v>
      </c>
      <c r="S1269" s="12"/>
      <c r="T1269" s="12"/>
      <c r="U1269" s="10" t="str">
        <f>HYPERLINK("https://pbs.twimg.com/profile_images/697130474435715072/CuF3-_qN.jpg","View")</f>
        <v>View</v>
      </c>
    </row>
    <row r="1270" spans="1:21" ht="51">
      <c r="A1270" s="6">
        <v>43424.197569444441</v>
      </c>
      <c r="B1270" s="7" t="str">
        <f>HYPERLINK("https://twitter.com/MorbixFactory","@MorbixFactory")</f>
        <v>@MorbixFactory</v>
      </c>
      <c r="C1270" s="8" t="s">
        <v>4600</v>
      </c>
      <c r="D1270" s="9" t="s">
        <v>4601</v>
      </c>
      <c r="E1270" s="10" t="str">
        <f>HYPERLINK("https://twitter.com/MorbixFactory/status/1064862046934761472","1064862046934761472")</f>
        <v>1064862046934761472</v>
      </c>
      <c r="F1270" s="17" t="s">
        <v>4602</v>
      </c>
      <c r="G1270" s="12"/>
      <c r="H1270" s="12"/>
      <c r="I1270" s="13">
        <v>3</v>
      </c>
      <c r="J1270" s="13">
        <v>11</v>
      </c>
      <c r="K1270" s="14" t="str">
        <f t="shared" ref="K1270:K1273" si="228">HYPERLINK("http://twitter.com","Twitter Web Client")</f>
        <v>Twitter Web Client</v>
      </c>
      <c r="L1270" s="13">
        <v>1715</v>
      </c>
      <c r="M1270" s="13">
        <v>647</v>
      </c>
      <c r="N1270" s="13">
        <v>25</v>
      </c>
      <c r="O1270" s="15"/>
      <c r="P1270" s="6">
        <v>41156.459097222221</v>
      </c>
      <c r="Q1270" s="12"/>
      <c r="R1270" s="16" t="s">
        <v>4603</v>
      </c>
      <c r="S1270" s="11" t="s">
        <v>4604</v>
      </c>
      <c r="T1270" s="12"/>
      <c r="U1270" s="10" t="str">
        <f>HYPERLINK("https://pbs.twimg.com/profile_images/974727892033826822/JsZ4i0n2.jpg","View")</f>
        <v>View</v>
      </c>
    </row>
    <row r="1271" spans="1:21" ht="20.399999999999999">
      <c r="A1271" s="6">
        <v>43424.196643518517</v>
      </c>
      <c r="B1271" s="7" t="str">
        <f>HYPERLINK("https://twitter.com/SANDALIOCARMONA","@SANDALIOCARMONA")</f>
        <v>@SANDALIOCARMONA</v>
      </c>
      <c r="C1271" s="8" t="s">
        <v>4605</v>
      </c>
      <c r="D1271" s="9" t="s">
        <v>4606</v>
      </c>
      <c r="E1271" s="10" t="str">
        <f>HYPERLINK("https://twitter.com/SANDALIOCARMONA/status/1064861708659896322","1064861708659896322")</f>
        <v>1064861708659896322</v>
      </c>
      <c r="F1271" s="11" t="s">
        <v>3263</v>
      </c>
      <c r="G1271" s="12"/>
      <c r="H1271" s="12"/>
      <c r="I1271" s="13">
        <v>0</v>
      </c>
      <c r="J1271" s="13">
        <v>0</v>
      </c>
      <c r="K1271" s="14" t="str">
        <f t="shared" si="228"/>
        <v>Twitter Web Client</v>
      </c>
      <c r="L1271" s="13">
        <v>1217</v>
      </c>
      <c r="M1271" s="13">
        <v>1180</v>
      </c>
      <c r="N1271" s="13">
        <v>23</v>
      </c>
      <c r="O1271" s="15"/>
      <c r="P1271" s="6">
        <v>40855.544328703705</v>
      </c>
      <c r="Q1271" s="17" t="s">
        <v>4607</v>
      </c>
      <c r="R1271" s="16" t="s">
        <v>4608</v>
      </c>
      <c r="S1271" s="12"/>
      <c r="T1271" s="12"/>
      <c r="U1271" s="10" t="str">
        <f>HYPERLINK("https://pbs.twimg.com/profile_images/3594025054/dad44f7b1b0e8a1457926005d80128f7.jpeg","View")</f>
        <v>View</v>
      </c>
    </row>
    <row r="1272" spans="1:21" ht="40.799999999999997">
      <c r="A1272" s="6">
        <v>43424.193611111114</v>
      </c>
      <c r="B1272" s="7" t="str">
        <f>HYPERLINK("https://twitter.com/NoticiasNavarra","@NoticiasNavarra")</f>
        <v>@NoticiasNavarra</v>
      </c>
      <c r="C1272" s="8" t="s">
        <v>4609</v>
      </c>
      <c r="D1272" s="9" t="s">
        <v>4610</v>
      </c>
      <c r="E1272" s="10" t="str">
        <f>HYPERLINK("https://twitter.com/NoticiasNavarra/status/1064860609819348992","1064860609819348992")</f>
        <v>1064860609819348992</v>
      </c>
      <c r="F1272" s="11" t="s">
        <v>4611</v>
      </c>
      <c r="G1272" s="12"/>
      <c r="H1272" s="12"/>
      <c r="I1272" s="13">
        <v>0</v>
      </c>
      <c r="J1272" s="13">
        <v>0</v>
      </c>
      <c r="K1272" s="14" t="str">
        <f t="shared" si="228"/>
        <v>Twitter Web Client</v>
      </c>
      <c r="L1272" s="13">
        <v>79120</v>
      </c>
      <c r="M1272" s="13">
        <v>3604</v>
      </c>
      <c r="N1272" s="13">
        <v>1049</v>
      </c>
      <c r="O1272" s="19" t="s">
        <v>74</v>
      </c>
      <c r="P1272" s="6">
        <v>39878.222395833334</v>
      </c>
      <c r="Q1272" s="17" t="s">
        <v>4612</v>
      </c>
      <c r="R1272" s="16" t="s">
        <v>4613</v>
      </c>
      <c r="S1272" s="11" t="s">
        <v>4614</v>
      </c>
      <c r="T1272" s="12"/>
      <c r="U1272" s="10" t="str">
        <f>HYPERLINK("https://pbs.twimg.com/profile_images/2725279347/c0d4ba7f1587ae11debdb114e2074f73.png","View")</f>
        <v>View</v>
      </c>
    </row>
    <row r="1273" spans="1:21" ht="20.399999999999999">
      <c r="A1273" s="6">
        <v>43424.187592592592</v>
      </c>
      <c r="B1273" s="7" t="str">
        <f>HYPERLINK("https://twitter.com/MJArtuch","@MJArtuch")</f>
        <v>@MJArtuch</v>
      </c>
      <c r="C1273" s="8" t="s">
        <v>4615</v>
      </c>
      <c r="D1273" s="9" t="s">
        <v>4576</v>
      </c>
      <c r="E1273" s="10" t="str">
        <f>HYPERLINK("https://twitter.com/MJArtuch/status/1064858430450618369","1064858430450618369")</f>
        <v>1064858430450618369</v>
      </c>
      <c r="F1273" s="11" t="s">
        <v>4338</v>
      </c>
      <c r="G1273" s="12"/>
      <c r="H1273" s="12"/>
      <c r="I1273" s="13">
        <v>1</v>
      </c>
      <c r="J1273" s="13">
        <v>0</v>
      </c>
      <c r="K1273" s="14" t="str">
        <f t="shared" si="228"/>
        <v>Twitter Web Client</v>
      </c>
      <c r="L1273" s="13">
        <v>573</v>
      </c>
      <c r="M1273" s="13">
        <v>526</v>
      </c>
      <c r="N1273" s="13">
        <v>34</v>
      </c>
      <c r="O1273" s="15"/>
      <c r="P1273" s="6">
        <v>40695.299097222218</v>
      </c>
      <c r="Q1273" s="17" t="s">
        <v>29</v>
      </c>
      <c r="R1273" s="16" t="s">
        <v>4616</v>
      </c>
      <c r="S1273" s="12"/>
      <c r="T1273" s="12"/>
      <c r="U1273" s="10" t="str">
        <f>HYPERLINK("https://pbs.twimg.com/profile_images/492318600686882816/GckHJNrH.jpeg","View")</f>
        <v>View</v>
      </c>
    </row>
    <row r="1274" spans="1:21" ht="40.799999999999997">
      <c r="A1274" s="6">
        <v>43424.187557870369</v>
      </c>
      <c r="B1274" s="7" t="str">
        <f>HYPERLINK("https://twitter.com/lextresabogados","@lextresabogados")</f>
        <v>@lextresabogados</v>
      </c>
      <c r="C1274" s="8" t="s">
        <v>59</v>
      </c>
      <c r="D1274" s="9" t="s">
        <v>4617</v>
      </c>
      <c r="E1274" s="10" t="str">
        <f>HYPERLINK("https://twitter.com/lextresabogados/status/1064858419004407808","1064858419004407808")</f>
        <v>1064858419004407808</v>
      </c>
      <c r="F1274" s="11" t="s">
        <v>4618</v>
      </c>
      <c r="G1274" s="11" t="s">
        <v>4619</v>
      </c>
      <c r="H1274" s="12"/>
      <c r="I1274" s="13">
        <v>0</v>
      </c>
      <c r="J1274" s="13">
        <v>0</v>
      </c>
      <c r="K1274" s="14" t="str">
        <f>HYPERLINK("http://35.180.36.179","botize nueva")</f>
        <v>botize nueva</v>
      </c>
      <c r="L1274" s="13">
        <v>2229</v>
      </c>
      <c r="M1274" s="13">
        <v>3277</v>
      </c>
      <c r="N1274" s="13">
        <v>21</v>
      </c>
      <c r="O1274" s="15"/>
      <c r="P1274" s="6">
        <v>42880.395949074074</v>
      </c>
      <c r="Q1274" s="17" t="s">
        <v>62</v>
      </c>
      <c r="R1274" s="16" t="s">
        <v>63</v>
      </c>
      <c r="S1274" s="11" t="s">
        <v>64</v>
      </c>
      <c r="T1274" s="12"/>
      <c r="U1274" s="10" t="str">
        <f>HYPERLINK("https://pbs.twimg.com/profile_images/1058352229546164224/xnNCczNu.jpg","View")</f>
        <v>View</v>
      </c>
    </row>
    <row r="1275" spans="1:21" ht="40.799999999999997">
      <c r="A1275" s="6">
        <v>43424.186828703707</v>
      </c>
      <c r="B1275" s="7" t="str">
        <f>HYPERLINK("https://twitter.com/expansioncom","@expansioncom")</f>
        <v>@expansioncom</v>
      </c>
      <c r="C1275" s="8" t="s">
        <v>4620</v>
      </c>
      <c r="D1275" s="9" t="s">
        <v>4621</v>
      </c>
      <c r="E1275" s="10" t="str">
        <f>HYPERLINK("https://twitter.com/expansioncom/status/1064858151177125888","1064858151177125888")</f>
        <v>1064858151177125888</v>
      </c>
      <c r="F1275" s="11" t="s">
        <v>4618</v>
      </c>
      <c r="G1275" s="11" t="s">
        <v>4622</v>
      </c>
      <c r="H1275" s="12"/>
      <c r="I1275" s="13">
        <v>1</v>
      </c>
      <c r="J1275" s="13">
        <v>2</v>
      </c>
      <c r="K1275" s="14" t="str">
        <f t="shared" ref="K1275:K1276" si="229">HYPERLINK("https://buffer.com","Buffer")</f>
        <v>Buffer</v>
      </c>
      <c r="L1275" s="13">
        <v>712342</v>
      </c>
      <c r="M1275" s="13">
        <v>281</v>
      </c>
      <c r="N1275" s="13">
        <v>9862</v>
      </c>
      <c r="O1275" s="19" t="s">
        <v>74</v>
      </c>
      <c r="P1275" s="6">
        <v>39597.090937499997</v>
      </c>
      <c r="Q1275" s="17" t="s">
        <v>29</v>
      </c>
      <c r="R1275" s="16" t="s">
        <v>4623</v>
      </c>
      <c r="S1275" s="11" t="s">
        <v>4624</v>
      </c>
      <c r="T1275" s="12"/>
      <c r="U1275" s="10" t="str">
        <f>HYPERLINK("https://pbs.twimg.com/profile_images/580307398012870656/EcHhO0Lq.jpg","View")</f>
        <v>View</v>
      </c>
    </row>
    <row r="1276" spans="1:21" ht="20.399999999999999">
      <c r="A1276" s="6">
        <v>43424.18681712963</v>
      </c>
      <c r="B1276" s="7" t="str">
        <f>HYPERLINK("https://twitter.com/exp_economia","@exp_economia")</f>
        <v>@exp_economia</v>
      </c>
      <c r="C1276" s="8" t="s">
        <v>4625</v>
      </c>
      <c r="D1276" s="9" t="s">
        <v>4621</v>
      </c>
      <c r="E1276" s="10" t="str">
        <f>HYPERLINK("https://twitter.com/exp_economia/status/1064858150615027717","1064858150615027717")</f>
        <v>1064858150615027717</v>
      </c>
      <c r="F1276" s="11" t="s">
        <v>4618</v>
      </c>
      <c r="G1276" s="11" t="s">
        <v>4626</v>
      </c>
      <c r="H1276" s="12"/>
      <c r="I1276" s="13">
        <v>0</v>
      </c>
      <c r="J1276" s="13">
        <v>0</v>
      </c>
      <c r="K1276" s="14" t="str">
        <f t="shared" si="229"/>
        <v>Buffer</v>
      </c>
      <c r="L1276" s="13">
        <v>12248</v>
      </c>
      <c r="M1276" s="13">
        <v>83</v>
      </c>
      <c r="N1276" s="13">
        <v>371</v>
      </c>
      <c r="O1276" s="15"/>
      <c r="P1276" s="6">
        <v>40602.329212962963</v>
      </c>
      <c r="Q1276" s="17" t="s">
        <v>76</v>
      </c>
      <c r="R1276" s="16" t="s">
        <v>4627</v>
      </c>
      <c r="S1276" s="11" t="s">
        <v>4624</v>
      </c>
      <c r="T1276" s="12"/>
      <c r="U1276" s="10" t="str">
        <f>HYPERLINK("https://pbs.twimg.com/profile_images/580305929909985280/9ASzIVul.jpg","View")</f>
        <v>View</v>
      </c>
    </row>
    <row r="1277" spans="1:21" ht="40.799999999999997">
      <c r="A1277" s="6">
        <v>43424.186574074076</v>
      </c>
      <c r="B1277" s="7" t="str">
        <f>HYPERLINK("https://twitter.com/AgustnMilln","@AgustnMilln")</f>
        <v>@AgustnMilln</v>
      </c>
      <c r="C1277" s="8" t="s">
        <v>4628</v>
      </c>
      <c r="D1277" s="9" t="s">
        <v>4629</v>
      </c>
      <c r="E1277" s="10" t="str">
        <f>HYPERLINK("https://twitter.com/AgustnMilln/status/1064858061116968961","1064858061116968961")</f>
        <v>1064858061116968961</v>
      </c>
      <c r="F1277" s="11" t="s">
        <v>4630</v>
      </c>
      <c r="G1277" s="11" t="s">
        <v>4631</v>
      </c>
      <c r="H1277" s="12"/>
      <c r="I1277" s="13">
        <v>0</v>
      </c>
      <c r="J1277" s="13">
        <v>0</v>
      </c>
      <c r="K1277" s="14" t="str">
        <f t="shared" ref="K1277:K1280" si="230">HYPERLINK("http://twitter.com/#!/download/ipad","Twitter for iPad")</f>
        <v>Twitter for iPad</v>
      </c>
      <c r="L1277" s="13">
        <v>4928</v>
      </c>
      <c r="M1277" s="13">
        <v>5258</v>
      </c>
      <c r="N1277" s="13">
        <v>96</v>
      </c>
      <c r="O1277" s="15"/>
      <c r="P1277" s="6">
        <v>40780.143923611111</v>
      </c>
      <c r="Q1277" s="17" t="s">
        <v>143</v>
      </c>
      <c r="R1277" s="16" t="s">
        <v>4632</v>
      </c>
      <c r="S1277" s="11" t="s">
        <v>4633</v>
      </c>
      <c r="T1277" s="12"/>
      <c r="U1277" s="10" t="str">
        <f>HYPERLINK("https://pbs.twimg.com/profile_images/618075164304089088/to67Qqx9.jpg","View")</f>
        <v>View</v>
      </c>
    </row>
    <row r="1278" spans="1:21" ht="40.799999999999997">
      <c r="A1278" s="6">
        <v>43424.186423611114</v>
      </c>
      <c r="B1278" s="7" t="str">
        <f>HYPERLINK("https://twitter.com/ilusiones_cajas","@ilusiones_cajas")</f>
        <v>@ilusiones_cajas</v>
      </c>
      <c r="C1278" s="8" t="s">
        <v>4634</v>
      </c>
      <c r="D1278" s="9" t="s">
        <v>4629</v>
      </c>
      <c r="E1278" s="10" t="str">
        <f>HYPERLINK("https://twitter.com/ilusiones_cajas/status/1064858006003859456","1064858006003859456")</f>
        <v>1064858006003859456</v>
      </c>
      <c r="F1278" s="11" t="s">
        <v>4630</v>
      </c>
      <c r="G1278" s="12"/>
      <c r="H1278" s="12"/>
      <c r="I1278" s="13">
        <v>0</v>
      </c>
      <c r="J1278" s="13">
        <v>0</v>
      </c>
      <c r="K1278" s="14" t="str">
        <f t="shared" si="230"/>
        <v>Twitter for iPad</v>
      </c>
      <c r="L1278" s="13">
        <v>270</v>
      </c>
      <c r="M1278" s="13">
        <v>1086</v>
      </c>
      <c r="N1278" s="13">
        <v>1</v>
      </c>
      <c r="O1278" s="15"/>
      <c r="P1278" s="6">
        <v>42569.570798611108</v>
      </c>
      <c r="Q1278" s="17" t="s">
        <v>143</v>
      </c>
      <c r="R1278" s="16" t="s">
        <v>4635</v>
      </c>
      <c r="S1278" s="12"/>
      <c r="T1278" s="12"/>
      <c r="U1278" s="10" t="str">
        <f>HYPERLINK("https://pbs.twimg.com/profile_images/834150138587316229/hDhl4J57.jpg","View")</f>
        <v>View</v>
      </c>
    </row>
    <row r="1279" spans="1:21" ht="40.799999999999997">
      <c r="A1279" s="6">
        <v>43424.186365740738</v>
      </c>
      <c r="B1279" s="7" t="str">
        <f>HYPERLINK("https://twitter.com/SocialcumbreS","@SocialcumbreS")</f>
        <v>@SocialcumbreS</v>
      </c>
      <c r="C1279" s="8" t="s">
        <v>4636</v>
      </c>
      <c r="D1279" s="9" t="s">
        <v>4629</v>
      </c>
      <c r="E1279" s="10" t="str">
        <f>HYPERLINK("https://twitter.com/SocialcumbreS/status/1064857984365404160","1064857984365404160")</f>
        <v>1064857984365404160</v>
      </c>
      <c r="F1279" s="11" t="s">
        <v>4630</v>
      </c>
      <c r="G1279" s="12"/>
      <c r="H1279" s="12"/>
      <c r="I1279" s="13">
        <v>0</v>
      </c>
      <c r="J1279" s="13">
        <v>0</v>
      </c>
      <c r="K1279" s="14" t="str">
        <f t="shared" si="230"/>
        <v>Twitter for iPad</v>
      </c>
      <c r="L1279" s="13">
        <v>19060</v>
      </c>
      <c r="M1279" s="13">
        <v>1152</v>
      </c>
      <c r="N1279" s="13">
        <v>478</v>
      </c>
      <c r="O1279" s="15"/>
      <c r="P1279" s="6">
        <v>41117.507881944446</v>
      </c>
      <c r="Q1279" s="17" t="s">
        <v>29</v>
      </c>
      <c r="R1279" s="16" t="s">
        <v>4637</v>
      </c>
      <c r="S1279" s="11" t="s">
        <v>4638</v>
      </c>
      <c r="T1279" s="12"/>
      <c r="U1279" s="10" t="str">
        <f>HYPERLINK("https://pbs.twimg.com/profile_images/1022038043203657728/GCN0OQBY.jpg","View")</f>
        <v>View</v>
      </c>
    </row>
    <row r="1280" spans="1:21" ht="40.799999999999997">
      <c r="A1280" s="6">
        <v>43424.186296296291</v>
      </c>
      <c r="B1280" s="7" t="str">
        <f>HYPERLINK("https://twitter.com/lagatadelsur","@lagatadelsur")</f>
        <v>@lagatadelsur</v>
      </c>
      <c r="C1280" s="8" t="s">
        <v>4639</v>
      </c>
      <c r="D1280" s="9" t="s">
        <v>4629</v>
      </c>
      <c r="E1280" s="10" t="str">
        <f>HYPERLINK("https://twitter.com/lagatadelsur/status/1064857959996502016","1064857959996502016")</f>
        <v>1064857959996502016</v>
      </c>
      <c r="F1280" s="11" t="s">
        <v>4630</v>
      </c>
      <c r="G1280" s="12"/>
      <c r="H1280" s="12"/>
      <c r="I1280" s="13">
        <v>0</v>
      </c>
      <c r="J1280" s="13">
        <v>0</v>
      </c>
      <c r="K1280" s="14" t="str">
        <f t="shared" si="230"/>
        <v>Twitter for iPad</v>
      </c>
      <c r="L1280" s="13">
        <v>1109</v>
      </c>
      <c r="M1280" s="13">
        <v>2493</v>
      </c>
      <c r="N1280" s="13">
        <v>18</v>
      </c>
      <c r="O1280" s="15"/>
      <c r="P1280" s="6">
        <v>40740.608784722222</v>
      </c>
      <c r="Q1280" s="17" t="s">
        <v>29</v>
      </c>
      <c r="R1280" s="16" t="s">
        <v>4640</v>
      </c>
      <c r="S1280" s="12"/>
      <c r="T1280" s="12"/>
      <c r="U1280" s="10" t="str">
        <f>HYPERLINK("https://pbs.twimg.com/profile_images/529002341198868482/XP035WXv.jpeg","View")</f>
        <v>View</v>
      </c>
    </row>
    <row r="1281" spans="1:21" ht="20.399999999999999">
      <c r="A1281" s="6">
        <v>43424.186284722222</v>
      </c>
      <c r="B1281" s="7" t="str">
        <f>HYPERLINK("https://twitter.com/Paula_Churches_","@Paula_Churches_")</f>
        <v>@Paula_Churches_</v>
      </c>
      <c r="C1281" s="8" t="s">
        <v>4641</v>
      </c>
      <c r="D1281" s="9" t="s">
        <v>4642</v>
      </c>
      <c r="E1281" s="10" t="str">
        <f>HYPERLINK("https://twitter.com/Paula_Churches_/status/1064857957698060288","1064857957698060288")</f>
        <v>1064857957698060288</v>
      </c>
      <c r="F1281" s="11" t="s">
        <v>4643</v>
      </c>
      <c r="G1281" s="12"/>
      <c r="H1281" s="12"/>
      <c r="I1281" s="13">
        <v>0</v>
      </c>
      <c r="J1281" s="13">
        <v>0</v>
      </c>
      <c r="K1281" s="14" t="str">
        <f>HYPERLINK("https://ifttt.com","IFTTT")</f>
        <v>IFTTT</v>
      </c>
      <c r="L1281" s="13">
        <v>231</v>
      </c>
      <c r="M1281" s="13">
        <v>447</v>
      </c>
      <c r="N1281" s="13">
        <v>1</v>
      </c>
      <c r="O1281" s="15"/>
      <c r="P1281" s="6">
        <v>42975.108206018514</v>
      </c>
      <c r="Q1281" s="17" t="s">
        <v>4644</v>
      </c>
      <c r="R1281" s="16" t="s">
        <v>4645</v>
      </c>
      <c r="S1281" s="12"/>
      <c r="T1281" s="12"/>
      <c r="U1281" s="10" t="str">
        <f>HYPERLINK("https://pbs.twimg.com/profile_images/908707812867493889/YtXsLgH7.jpg","View")</f>
        <v>View</v>
      </c>
    </row>
    <row r="1282" spans="1:21" ht="40.799999999999997">
      <c r="A1282" s="6">
        <v>43424.185659722221</v>
      </c>
      <c r="B1282" s="7" t="str">
        <f>HYPERLINK("https://twitter.com/Diario_16","@Diario_16")</f>
        <v>@Diario_16</v>
      </c>
      <c r="C1282" s="8" t="s">
        <v>4646</v>
      </c>
      <c r="D1282" s="9" t="s">
        <v>4647</v>
      </c>
      <c r="E1282" s="10" t="str">
        <f>HYPERLINK("https://twitter.com/Diario_16/status/1064857729175617536","1064857729175617536")</f>
        <v>1064857729175617536</v>
      </c>
      <c r="F1282" s="11" t="s">
        <v>3637</v>
      </c>
      <c r="G1282" s="11" t="s">
        <v>4648</v>
      </c>
      <c r="H1282" s="12"/>
      <c r="I1282" s="13">
        <v>3</v>
      </c>
      <c r="J1282" s="13">
        <v>3</v>
      </c>
      <c r="K1282" s="14" t="str">
        <f>HYPERLINK("http://twitter.com/#!/download/ipad","Twitter for iPad")</f>
        <v>Twitter for iPad</v>
      </c>
      <c r="L1282" s="13">
        <v>20953</v>
      </c>
      <c r="M1282" s="13">
        <v>1036</v>
      </c>
      <c r="N1282" s="13">
        <v>473</v>
      </c>
      <c r="O1282" s="15"/>
      <c r="P1282" s="6">
        <v>42341.489768518513</v>
      </c>
      <c r="Q1282" s="12"/>
      <c r="R1282" s="16" t="s">
        <v>4649</v>
      </c>
      <c r="S1282" s="11" t="s">
        <v>4650</v>
      </c>
      <c r="T1282" s="12"/>
      <c r="U1282" s="10" t="str">
        <f>HYPERLINK("https://pbs.twimg.com/profile_images/900024873275281409/nuXA921H.jpg","View")</f>
        <v>View</v>
      </c>
    </row>
    <row r="1283" spans="1:21" ht="51">
      <c r="A1283" s="6">
        <v>43424.18246527778</v>
      </c>
      <c r="B1283" s="7" t="str">
        <f>HYPERLINK("https://twitter.com/patrimarly","@patrimarly")</f>
        <v>@patrimarly</v>
      </c>
      <c r="C1283" s="8" t="s">
        <v>4651</v>
      </c>
      <c r="D1283" s="9" t="s">
        <v>4652</v>
      </c>
      <c r="E1283" s="10" t="str">
        <f>HYPERLINK("https://twitter.com/patrimarly/status/1064856571610566656","1064856571610566656")</f>
        <v>1064856571610566656</v>
      </c>
      <c r="F1283" s="11" t="s">
        <v>3637</v>
      </c>
      <c r="G1283" s="12"/>
      <c r="H1283" s="12"/>
      <c r="I1283" s="13">
        <v>0</v>
      </c>
      <c r="J1283" s="13">
        <v>0</v>
      </c>
      <c r="K1283" s="14" t="str">
        <f t="shared" ref="K1283:K1284" si="231">HYPERLINK("http://twitter.com/download/android","Twitter for Android")</f>
        <v>Twitter for Android</v>
      </c>
      <c r="L1283" s="13">
        <v>1398</v>
      </c>
      <c r="M1283" s="13">
        <v>1426</v>
      </c>
      <c r="N1283" s="13">
        <v>35</v>
      </c>
      <c r="O1283" s="15"/>
      <c r="P1283" s="6">
        <v>41295.265173611115</v>
      </c>
      <c r="Q1283" s="17" t="s">
        <v>4653</v>
      </c>
      <c r="R1283" s="16" t="s">
        <v>4654</v>
      </c>
      <c r="S1283" s="12"/>
      <c r="T1283" s="12"/>
      <c r="U1283" s="10" t="str">
        <f>HYPERLINK("https://pbs.twimg.com/profile_images/857187703145848832/erVPyaMk.jpg","View")</f>
        <v>View</v>
      </c>
    </row>
    <row r="1284" spans="1:21" ht="30.6">
      <c r="A1284" s="6">
        <v>43424.180717592593</v>
      </c>
      <c r="B1284" s="7" t="str">
        <f>HYPERLINK("https://twitter.com/Bloodmoonspell","@Bloodmoonspell")</f>
        <v>@Bloodmoonspell</v>
      </c>
      <c r="C1284" s="8" t="s">
        <v>4655</v>
      </c>
      <c r="D1284" s="9" t="s">
        <v>4656</v>
      </c>
      <c r="E1284" s="10" t="str">
        <f>HYPERLINK("https://twitter.com/Bloodmoonspell/status/1064855940661420033","1064855940661420033")</f>
        <v>1064855940661420033</v>
      </c>
      <c r="F1284" s="12"/>
      <c r="G1284" s="12"/>
      <c r="H1284" s="12"/>
      <c r="I1284" s="13">
        <v>0</v>
      </c>
      <c r="J1284" s="13">
        <v>1</v>
      </c>
      <c r="K1284" s="14" t="str">
        <f t="shared" si="231"/>
        <v>Twitter for Android</v>
      </c>
      <c r="L1284" s="13">
        <v>572</v>
      </c>
      <c r="M1284" s="13">
        <v>355</v>
      </c>
      <c r="N1284" s="13">
        <v>10</v>
      </c>
      <c r="O1284" s="15"/>
      <c r="P1284" s="6">
        <v>40150.543368055558</v>
      </c>
      <c r="Q1284" s="17" t="s">
        <v>4657</v>
      </c>
      <c r="R1284" s="16" t="s">
        <v>4658</v>
      </c>
      <c r="S1284" s="11" t="s">
        <v>4659</v>
      </c>
      <c r="T1284" s="12"/>
      <c r="U1284" s="10" t="str">
        <f>HYPERLINK("https://pbs.twimg.com/profile_images/1054360389268504576/2Iw-WNuv.jpg","View")</f>
        <v>View</v>
      </c>
    </row>
    <row r="1285" spans="1:21" ht="30.6">
      <c r="A1285" s="6">
        <v>43424.179791666669</v>
      </c>
      <c r="B1285" s="7" t="str">
        <f>HYPERLINK("https://twitter.com/trespies3","@trespies3")</f>
        <v>@trespies3</v>
      </c>
      <c r="C1285" s="8" t="s">
        <v>4663</v>
      </c>
      <c r="D1285" s="9" t="s">
        <v>4664</v>
      </c>
      <c r="E1285" s="10" t="str">
        <f>HYPERLINK("https://twitter.com/trespies3/status/1064855604550864899","1064855604550864899")</f>
        <v>1064855604550864899</v>
      </c>
      <c r="F1285" s="12"/>
      <c r="G1285" s="11" t="s">
        <v>4665</v>
      </c>
      <c r="H1285" s="12"/>
      <c r="I1285" s="13">
        <v>0</v>
      </c>
      <c r="J1285" s="13">
        <v>0</v>
      </c>
      <c r="K1285" s="14" t="str">
        <f>HYPERLINK("http://twitter.com","Twitter Web Client")</f>
        <v>Twitter Web Client</v>
      </c>
      <c r="L1285" s="13">
        <v>1243</v>
      </c>
      <c r="M1285" s="13">
        <v>1020</v>
      </c>
      <c r="N1285" s="13">
        <v>32</v>
      </c>
      <c r="O1285" s="15"/>
      <c r="P1285" s="6">
        <v>40651.993356481486</v>
      </c>
      <c r="Q1285" s="12"/>
      <c r="R1285" s="18"/>
      <c r="S1285" s="12"/>
      <c r="T1285" s="12"/>
      <c r="U1285" s="10" t="str">
        <f>HYPERLINK("https://pbs.twimg.com/profile_images/798789089231126528/FpLgeWey.jpg","View")</f>
        <v>View</v>
      </c>
    </row>
    <row r="1286" spans="1:21" ht="20.399999999999999">
      <c r="A1286" s="6">
        <v>43424.177141203705</v>
      </c>
      <c r="B1286" s="7" t="str">
        <f>HYPERLINK("https://twitter.com/TrueNewsD","@TrueNewsD")</f>
        <v>@TrueNewsD</v>
      </c>
      <c r="C1286" s="8" t="s">
        <v>4666</v>
      </c>
      <c r="D1286" s="9" t="s">
        <v>4642</v>
      </c>
      <c r="E1286" s="10" t="str">
        <f>HYPERLINK("https://twitter.com/TrueNewsD/status/1064854643233026048","1064854643233026048")</f>
        <v>1064854643233026048</v>
      </c>
      <c r="F1286" s="11" t="s">
        <v>4667</v>
      </c>
      <c r="G1286" s="11" t="s">
        <v>4668</v>
      </c>
      <c r="H1286" s="12"/>
      <c r="I1286" s="13">
        <v>0</v>
      </c>
      <c r="J1286" s="13">
        <v>0</v>
      </c>
      <c r="K1286" s="14" t="str">
        <f>HYPERLINK("https://dlvrit.com/","dlvr.it")</f>
        <v>dlvr.it</v>
      </c>
      <c r="L1286" s="13">
        <v>12</v>
      </c>
      <c r="M1286" s="13">
        <v>55</v>
      </c>
      <c r="N1286" s="13">
        <v>0</v>
      </c>
      <c r="O1286" s="15"/>
      <c r="P1286" s="6">
        <v>43416.285659722227</v>
      </c>
      <c r="Q1286" s="17" t="s">
        <v>405</v>
      </c>
      <c r="R1286" s="16" t="s">
        <v>4669</v>
      </c>
      <c r="S1286" s="11" t="s">
        <v>4670</v>
      </c>
      <c r="T1286" s="12"/>
      <c r="U1286" s="10" t="str">
        <f>HYPERLINK("https://pbs.twimg.com/profile_images/1061997699287994369/C7oN19Jl.jpg","View")</f>
        <v>View</v>
      </c>
    </row>
    <row r="1287" spans="1:21" ht="40.799999999999997">
      <c r="A1287" s="6">
        <v>43424.176793981482</v>
      </c>
      <c r="B1287" s="7" t="str">
        <f>HYPERLINK("https://twitter.com/santia2015","@santia2015")</f>
        <v>@santia2015</v>
      </c>
      <c r="C1287" s="8" t="s">
        <v>4568</v>
      </c>
      <c r="D1287" s="9" t="s">
        <v>4671</v>
      </c>
      <c r="E1287" s="10" t="str">
        <f>HYPERLINK("https://twitter.com/santia2015/status/1064854515160014848","1064854515160014848")</f>
        <v>1064854515160014848</v>
      </c>
      <c r="F1287" s="12"/>
      <c r="G1287" s="11" t="s">
        <v>4672</v>
      </c>
      <c r="H1287" s="12"/>
      <c r="I1287" s="13">
        <v>3</v>
      </c>
      <c r="J1287" s="13">
        <v>3</v>
      </c>
      <c r="K1287" s="14" t="str">
        <f>HYPERLINK("http://twitter.com/download/iphone","Twitter for iPhone")</f>
        <v>Twitter for iPhone</v>
      </c>
      <c r="L1287" s="13">
        <v>1017</v>
      </c>
      <c r="M1287" s="13">
        <v>234</v>
      </c>
      <c r="N1287" s="13">
        <v>43</v>
      </c>
      <c r="O1287" s="19" t="s">
        <v>74</v>
      </c>
      <c r="P1287" s="6">
        <v>42044.362557870365</v>
      </c>
      <c r="Q1287" s="12"/>
      <c r="R1287" s="16" t="s">
        <v>4571</v>
      </c>
      <c r="S1287" s="11" t="s">
        <v>4572</v>
      </c>
      <c r="T1287" s="12"/>
      <c r="U1287" s="10" t="str">
        <f>HYPERLINK("https://pbs.twimg.com/profile_images/885593047928639489/rtz0fuJz.jpg","View")</f>
        <v>View</v>
      </c>
    </row>
    <row r="1288" spans="1:21" ht="30.6">
      <c r="A1288" s="6">
        <v>43424.17387731481</v>
      </c>
      <c r="B1288" s="7" t="str">
        <f>HYPERLINK("https://twitter.com/javiermentrida1","@javiermentrida1")</f>
        <v>@javiermentrida1</v>
      </c>
      <c r="C1288" s="8" t="s">
        <v>4674</v>
      </c>
      <c r="D1288" s="9" t="s">
        <v>4675</v>
      </c>
      <c r="E1288" s="10" t="str">
        <f>HYPERLINK("https://twitter.com/javiermentrida1/status/1064853458543611906","1064853458543611906")</f>
        <v>1064853458543611906</v>
      </c>
      <c r="F1288" s="12"/>
      <c r="G1288" s="12"/>
      <c r="H1288" s="12"/>
      <c r="I1288" s="13">
        <v>1</v>
      </c>
      <c r="J1288" s="13">
        <v>1</v>
      </c>
      <c r="K1288" s="14" t="str">
        <f>HYPERLINK("https://mobile.twitter.com","Twitter Lite")</f>
        <v>Twitter Lite</v>
      </c>
      <c r="L1288" s="13">
        <v>104</v>
      </c>
      <c r="M1288" s="13">
        <v>245</v>
      </c>
      <c r="N1288" s="13">
        <v>2</v>
      </c>
      <c r="O1288" s="15"/>
      <c r="P1288" s="6">
        <v>41331.085925925923</v>
      </c>
      <c r="Q1288" s="12"/>
      <c r="R1288" s="16" t="s">
        <v>4676</v>
      </c>
      <c r="S1288" s="12"/>
      <c r="T1288" s="12"/>
      <c r="U1288" s="10" t="str">
        <f>HYPERLINK("https://pbs.twimg.com/profile_images/1057683069489106945/DftR3fUq.jpg","View")</f>
        <v>View</v>
      </c>
    </row>
    <row r="1289" spans="1:21" ht="20.399999999999999">
      <c r="A1289" s="6">
        <v>43424.173657407402</v>
      </c>
      <c r="B1289" s="7" t="str">
        <f>HYPERLINK("https://twitter.com/naiz_info","@naiz_info")</f>
        <v>@naiz_info</v>
      </c>
      <c r="C1289" s="8" t="s">
        <v>4677</v>
      </c>
      <c r="D1289" s="9" t="s">
        <v>4678</v>
      </c>
      <c r="E1289" s="10" t="str">
        <f>HYPERLINK("https://twitter.com/naiz_info/status/1064853381104238593","1064853381104238593")</f>
        <v>1064853381104238593</v>
      </c>
      <c r="F1289" s="11" t="s">
        <v>4679</v>
      </c>
      <c r="G1289" s="11" t="s">
        <v>4680</v>
      </c>
      <c r="H1289" s="12"/>
      <c r="I1289" s="13">
        <v>3</v>
      </c>
      <c r="J1289" s="13">
        <v>1</v>
      </c>
      <c r="K1289" s="14" t="str">
        <f>HYPERLINK("https://about.twitter.com/products/tweetdeck","TweetDeck")</f>
        <v>TweetDeck</v>
      </c>
      <c r="L1289" s="13">
        <v>67930</v>
      </c>
      <c r="M1289" s="13">
        <v>545</v>
      </c>
      <c r="N1289" s="13">
        <v>693</v>
      </c>
      <c r="O1289" s="15"/>
      <c r="P1289" s="6">
        <v>40962.212013888886</v>
      </c>
      <c r="Q1289" s="17" t="s">
        <v>726</v>
      </c>
      <c r="R1289" s="16" t="s">
        <v>4681</v>
      </c>
      <c r="S1289" s="11" t="s">
        <v>4682</v>
      </c>
      <c r="T1289" s="12"/>
      <c r="U1289" s="10" t="str">
        <f>HYPERLINK("https://pbs.twimg.com/profile_images/971886371257356289/V0lLAMcs.jpg","View")</f>
        <v>View</v>
      </c>
    </row>
    <row r="1290" spans="1:21" ht="40.799999999999997">
      <c r="A1290" s="6">
        <v>43424.172152777777</v>
      </c>
      <c r="B1290" s="7" t="str">
        <f>HYPERLINK("https://twitter.com/elcaudillisimo","@elcaudillisimo")</f>
        <v>@elcaudillisimo</v>
      </c>
      <c r="C1290" s="8" t="s">
        <v>4683</v>
      </c>
      <c r="D1290" s="9" t="s">
        <v>4684</v>
      </c>
      <c r="E1290" s="10" t="str">
        <f>HYPERLINK("https://twitter.com/elcaudillisimo/status/1064852834372542464","1064852834372542464")</f>
        <v>1064852834372542464</v>
      </c>
      <c r="F1290" s="12"/>
      <c r="G1290" s="12"/>
      <c r="H1290" s="12"/>
      <c r="I1290" s="13">
        <v>0</v>
      </c>
      <c r="J1290" s="13">
        <v>2</v>
      </c>
      <c r="K1290" s="14" t="str">
        <f>HYPERLINK("http://twitter.com/download/android","Twitter for Android")</f>
        <v>Twitter for Android</v>
      </c>
      <c r="L1290" s="13">
        <v>1658</v>
      </c>
      <c r="M1290" s="13">
        <v>51</v>
      </c>
      <c r="N1290" s="13">
        <v>11</v>
      </c>
      <c r="O1290" s="15"/>
      <c r="P1290" s="6">
        <v>42635.458449074074</v>
      </c>
      <c r="Q1290" s="17" t="s">
        <v>4685</v>
      </c>
      <c r="R1290" s="16" t="s">
        <v>4686</v>
      </c>
      <c r="S1290" s="11" t="s">
        <v>4687</v>
      </c>
      <c r="T1290" s="12"/>
      <c r="U1290" s="10" t="str">
        <f>HYPERLINK("https://pbs.twimg.com/profile_images/779434699563364352/7iQwnIl9.jpg","View")</f>
        <v>View</v>
      </c>
    </row>
    <row r="1291" spans="1:21" ht="30.6">
      <c r="A1291" s="6">
        <v>43424.170138888891</v>
      </c>
      <c r="B1291" s="7" t="str">
        <f>HYPERLINK("https://twitter.com/A3Noticias","@A3Noticias")</f>
        <v>@A3Noticias</v>
      </c>
      <c r="C1291" s="8" t="s">
        <v>4688</v>
      </c>
      <c r="D1291" s="9" t="s">
        <v>4689</v>
      </c>
      <c r="E1291" s="10" t="str">
        <f>HYPERLINK("https://twitter.com/A3Noticias/status/1064852107088547843","1064852107088547843")</f>
        <v>1064852107088547843</v>
      </c>
      <c r="F1291" s="11" t="s">
        <v>4690</v>
      </c>
      <c r="G1291" s="12"/>
      <c r="H1291" s="12"/>
      <c r="I1291" s="13">
        <v>1</v>
      </c>
      <c r="J1291" s="13">
        <v>3</v>
      </c>
      <c r="K1291" s="14" t="str">
        <f>HYPERLINK("http://dogtrack.es","DogTrack_Oficial")</f>
        <v>DogTrack_Oficial</v>
      </c>
      <c r="L1291" s="13">
        <v>1720485</v>
      </c>
      <c r="M1291" s="13">
        <v>406</v>
      </c>
      <c r="N1291" s="13">
        <v>8130</v>
      </c>
      <c r="O1291" s="19" t="s">
        <v>74</v>
      </c>
      <c r="P1291" s="6">
        <v>40318.148495370369</v>
      </c>
      <c r="Q1291" s="12"/>
      <c r="R1291" s="16" t="s">
        <v>4691</v>
      </c>
      <c r="S1291" s="11" t="s">
        <v>4692</v>
      </c>
      <c r="T1291" s="12"/>
      <c r="U1291" s="10" t="str">
        <f>HYPERLINK("https://pbs.twimg.com/profile_images/1047424467411107840/znEO0bjJ.jpg","View")</f>
        <v>View</v>
      </c>
    </row>
    <row r="1292" spans="1:21" ht="20.399999999999999">
      <c r="A1292" s="6">
        <v>43424.168981481482</v>
      </c>
      <c r="B1292" s="7" t="str">
        <f>HYPERLINK("https://twitter.com/Autillotwitt","@Autillotwitt")</f>
        <v>@Autillotwitt</v>
      </c>
      <c r="C1292" s="8" t="s">
        <v>2475</v>
      </c>
      <c r="D1292" s="9" t="s">
        <v>4693</v>
      </c>
      <c r="E1292" s="10" t="str">
        <f>HYPERLINK("https://twitter.com/Autillotwitt/status/1064851687679111168","1064851687679111168")</f>
        <v>1064851687679111168</v>
      </c>
      <c r="F1292" s="11" t="s">
        <v>4338</v>
      </c>
      <c r="G1292" s="12"/>
      <c r="H1292" s="12"/>
      <c r="I1292" s="13">
        <v>0</v>
      </c>
      <c r="J1292" s="13">
        <v>0</v>
      </c>
      <c r="K1292" s="14" t="str">
        <f t="shared" ref="K1292:K1293" si="232">HYPERLINK("http://twitter.com","Twitter Web Client")</f>
        <v>Twitter Web Client</v>
      </c>
      <c r="L1292" s="13">
        <v>952</v>
      </c>
      <c r="M1292" s="13">
        <v>566</v>
      </c>
      <c r="N1292" s="13">
        <v>36</v>
      </c>
      <c r="O1292" s="15"/>
      <c r="P1292" s="6">
        <v>40670.57366898148</v>
      </c>
      <c r="Q1292" s="17" t="s">
        <v>29</v>
      </c>
      <c r="R1292" s="16" t="s">
        <v>2478</v>
      </c>
      <c r="S1292" s="11" t="s">
        <v>2481</v>
      </c>
      <c r="T1292" s="12"/>
      <c r="U1292" s="10" t="str">
        <f>HYPERLINK("https://pbs.twimg.com/profile_images/588254784240689152/hfglc-SA.jpg","View")</f>
        <v>View</v>
      </c>
    </row>
    <row r="1293" spans="1:21" ht="30.6">
      <c r="A1293" s="6">
        <v>43424.166331018518</v>
      </c>
      <c r="B1293" s="7" t="str">
        <f>HYPERLINK("https://twitter.com/ramoncotarelo","@ramoncotarelo")</f>
        <v>@ramoncotarelo</v>
      </c>
      <c r="C1293" s="8" t="s">
        <v>4694</v>
      </c>
      <c r="D1293" s="9" t="s">
        <v>4695</v>
      </c>
      <c r="E1293" s="10" t="str">
        <f>HYPERLINK("https://twitter.com/ramoncotarelo/status/1064850725166071809","1064850725166071809")</f>
        <v>1064850725166071809</v>
      </c>
      <c r="F1293" s="11" t="s">
        <v>320</v>
      </c>
      <c r="G1293" s="12"/>
      <c r="H1293" s="12"/>
      <c r="I1293" s="13">
        <v>224</v>
      </c>
      <c r="J1293" s="13">
        <v>324</v>
      </c>
      <c r="K1293" s="14" t="str">
        <f t="shared" si="232"/>
        <v>Twitter Web Client</v>
      </c>
      <c r="L1293" s="13">
        <v>187081</v>
      </c>
      <c r="M1293" s="13">
        <v>2060</v>
      </c>
      <c r="N1293" s="13">
        <v>0</v>
      </c>
      <c r="O1293" s="15"/>
      <c r="P1293" s="6">
        <v>39454.320289351854</v>
      </c>
      <c r="Q1293" s="17" t="s">
        <v>4696</v>
      </c>
      <c r="R1293" s="16" t="s">
        <v>4697</v>
      </c>
      <c r="S1293" s="11" t="s">
        <v>4698</v>
      </c>
      <c r="T1293" s="12"/>
      <c r="U1293" s="10" t="str">
        <f>HYPERLINK("https://pbs.twimg.com/profile_images/1038833301002313735/9bWHT1Cv.jpg","View")</f>
        <v>View</v>
      </c>
    </row>
    <row r="1294" spans="1:21" ht="40.799999999999997">
      <c r="A1294" s="6">
        <v>43424.166215277779</v>
      </c>
      <c r="B1294" s="7" t="str">
        <f>HYPERLINK("https://twitter.com/ecd_","@ecd_")</f>
        <v>@ecd_</v>
      </c>
      <c r="C1294" s="8" t="s">
        <v>4699</v>
      </c>
      <c r="D1294" s="9" t="s">
        <v>4315</v>
      </c>
      <c r="E1294" s="10" t="str">
        <f>HYPERLINK("https://twitter.com/ecd_/status/1064850681717317634","1064850681717317634")</f>
        <v>1064850681717317634</v>
      </c>
      <c r="F1294" s="11" t="s">
        <v>4700</v>
      </c>
      <c r="G1294" s="12"/>
      <c r="H1294" s="12"/>
      <c r="I1294" s="13">
        <v>3</v>
      </c>
      <c r="J1294" s="13">
        <v>1</v>
      </c>
      <c r="K1294" s="14" t="str">
        <f>HYPERLINK("http://dogtrack.es","DogTrack_Oficial")</f>
        <v>DogTrack_Oficial</v>
      </c>
      <c r="L1294" s="13">
        <v>88323</v>
      </c>
      <c r="M1294" s="13">
        <v>362</v>
      </c>
      <c r="N1294" s="13">
        <v>2646</v>
      </c>
      <c r="O1294" s="15"/>
      <c r="P1294" s="6">
        <v>39931.355115740742</v>
      </c>
      <c r="Q1294" s="29" t="s">
        <v>4701</v>
      </c>
      <c r="R1294" s="16" t="s">
        <v>4702</v>
      </c>
      <c r="S1294" s="11" t="s">
        <v>4703</v>
      </c>
      <c r="T1294" s="12"/>
      <c r="U1294" s="10" t="str">
        <f>HYPERLINK("https://pbs.twimg.com/profile_images/720595850238554113/Y8DGFyzZ.jpg","View")</f>
        <v>View</v>
      </c>
    </row>
    <row r="1295" spans="1:21" ht="30.6">
      <c r="A1295" s="6">
        <v>43424.165381944447</v>
      </c>
      <c r="B1295" s="7" t="str">
        <f>HYPERLINK("https://twitter.com/pressdigital","@pressdigital")</f>
        <v>@pressdigital</v>
      </c>
      <c r="C1295" s="8" t="s">
        <v>4575</v>
      </c>
      <c r="D1295" s="9" t="s">
        <v>4576</v>
      </c>
      <c r="E1295" s="10" t="str">
        <f>HYPERLINK("https://twitter.com/pressdigital/status/1064850381061144576","1064850381061144576")</f>
        <v>1064850381061144576</v>
      </c>
      <c r="F1295" s="11" t="s">
        <v>4704</v>
      </c>
      <c r="G1295" s="12"/>
      <c r="H1295" s="12"/>
      <c r="I1295" s="13">
        <v>0</v>
      </c>
      <c r="J1295" s="13">
        <v>0</v>
      </c>
      <c r="K1295" s="14" t="str">
        <f>HYPERLINK("https://ifttt.com","IFTTT")</f>
        <v>IFTTT</v>
      </c>
      <c r="L1295" s="13">
        <v>1203</v>
      </c>
      <c r="M1295" s="13">
        <v>1054</v>
      </c>
      <c r="N1295" s="13">
        <v>73</v>
      </c>
      <c r="O1295" s="15"/>
      <c r="P1295" s="6">
        <v>40142.461041666669</v>
      </c>
      <c r="Q1295" s="17" t="s">
        <v>29</v>
      </c>
      <c r="R1295" s="16" t="s">
        <v>4578</v>
      </c>
      <c r="S1295" s="11" t="s">
        <v>4579</v>
      </c>
      <c r="T1295" s="12"/>
      <c r="U1295" s="10" t="str">
        <f>HYPERLINK("https://pbs.twimg.com/profile_images/686495616231444480/68bUHQ6J.jpg","View")</f>
        <v>View</v>
      </c>
    </row>
    <row r="1296" spans="1:21" ht="40.799999999999997">
      <c r="A1296" s="6">
        <v>43424.164548611108</v>
      </c>
      <c r="B1296" s="7" t="str">
        <f>HYPERLINK("https://twitter.com/Diario_16","@Diario_16")</f>
        <v>@Diario_16</v>
      </c>
      <c r="C1296" s="8" t="s">
        <v>4646</v>
      </c>
      <c r="D1296" s="9" t="s">
        <v>4705</v>
      </c>
      <c r="E1296" s="10" t="str">
        <f>HYPERLINK("https://twitter.com/Diario_16/status/1064850080652554245","1064850080652554245")</f>
        <v>1064850080652554245</v>
      </c>
      <c r="F1296" s="11" t="s">
        <v>3637</v>
      </c>
      <c r="G1296" s="12"/>
      <c r="H1296" s="12"/>
      <c r="I1296" s="13">
        <v>3</v>
      </c>
      <c r="J1296" s="13">
        <v>0</v>
      </c>
      <c r="K1296" s="14" t="str">
        <f>HYPERLINK("http://diario16.com/","D16Autopost")</f>
        <v>D16Autopost</v>
      </c>
      <c r="L1296" s="13">
        <v>20953</v>
      </c>
      <c r="M1296" s="13">
        <v>1036</v>
      </c>
      <c r="N1296" s="13">
        <v>473</v>
      </c>
      <c r="O1296" s="15"/>
      <c r="P1296" s="6">
        <v>42341.489768518513</v>
      </c>
      <c r="Q1296" s="12"/>
      <c r="R1296" s="16" t="s">
        <v>4649</v>
      </c>
      <c r="S1296" s="11" t="s">
        <v>4650</v>
      </c>
      <c r="T1296" s="12"/>
      <c r="U1296" s="10" t="str">
        <f>HYPERLINK("https://pbs.twimg.com/profile_images/900024873275281409/nuXA921H.jpg","View")</f>
        <v>View</v>
      </c>
    </row>
    <row r="1297" spans="1:21" ht="40.799999999999997">
      <c r="A1297" s="6">
        <v>43424.164305555554</v>
      </c>
      <c r="B1297" s="7" t="str">
        <f>HYPERLINK("https://twitter.com/2017mgg","@2017mgg")</f>
        <v>@2017mgg</v>
      </c>
      <c r="C1297" s="8" t="s">
        <v>4706</v>
      </c>
      <c r="D1297" s="9" t="s">
        <v>4707</v>
      </c>
      <c r="E1297" s="10" t="str">
        <f>HYPERLINK("https://twitter.com/2017mgg/status/1064849990445617153","1064849990445617153")</f>
        <v>1064849990445617153</v>
      </c>
      <c r="F1297" s="11" t="s">
        <v>320</v>
      </c>
      <c r="G1297" s="12"/>
      <c r="H1297" s="12"/>
      <c r="I1297" s="13">
        <v>2</v>
      </c>
      <c r="J1297" s="13">
        <v>1</v>
      </c>
      <c r="K1297" s="14" t="str">
        <f t="shared" ref="K1297:K1298" si="233">HYPERLINK("http://twitter.com","Twitter Web Client")</f>
        <v>Twitter Web Client</v>
      </c>
      <c r="L1297" s="13">
        <v>219</v>
      </c>
      <c r="M1297" s="13">
        <v>438</v>
      </c>
      <c r="N1297" s="13">
        <v>1</v>
      </c>
      <c r="O1297" s="15"/>
      <c r="P1297" s="6">
        <v>43030.410324074073</v>
      </c>
      <c r="Q1297" s="17" t="s">
        <v>4708</v>
      </c>
      <c r="R1297" s="16" t="s">
        <v>4709</v>
      </c>
      <c r="S1297" s="11" t="s">
        <v>4710</v>
      </c>
      <c r="T1297" s="12"/>
      <c r="U1297" s="10" t="str">
        <f>HYPERLINK("https://pbs.twimg.com/profile_images/922148426040729602/-WoKBQA6.jpg","View")</f>
        <v>View</v>
      </c>
    </row>
    <row r="1298" spans="1:21" ht="20.399999999999999">
      <c r="A1298" s="6">
        <v>43424.163715277777</v>
      </c>
      <c r="B1298" s="7" t="str">
        <f>HYPERLINK("https://twitter.com/Fernandodelarr","@Fernandodelarr")</f>
        <v>@Fernandodelarr</v>
      </c>
      <c r="C1298" s="8" t="s">
        <v>4711</v>
      </c>
      <c r="D1298" s="9" t="s">
        <v>4712</v>
      </c>
      <c r="E1298" s="10" t="str">
        <f>HYPERLINK("https://twitter.com/Fernandodelarr/status/1064849776041181184","1064849776041181184")</f>
        <v>1064849776041181184</v>
      </c>
      <c r="F1298" s="12"/>
      <c r="G1298" s="11" t="s">
        <v>4713</v>
      </c>
      <c r="H1298" s="12"/>
      <c r="I1298" s="13">
        <v>0</v>
      </c>
      <c r="J1298" s="13">
        <v>1</v>
      </c>
      <c r="K1298" s="14" t="str">
        <f t="shared" si="233"/>
        <v>Twitter Web Client</v>
      </c>
      <c r="L1298" s="13">
        <v>263</v>
      </c>
      <c r="M1298" s="13">
        <v>470</v>
      </c>
      <c r="N1298" s="13">
        <v>0</v>
      </c>
      <c r="O1298" s="15"/>
      <c r="P1298" s="6">
        <v>40842.370775462965</v>
      </c>
      <c r="Q1298" s="12"/>
      <c r="R1298" s="16" t="s">
        <v>4714</v>
      </c>
      <c r="S1298" s="12"/>
      <c r="T1298" s="12"/>
      <c r="U1298" s="10" t="str">
        <f>HYPERLINK("https://pbs.twimg.com/profile_images/3569873135/d5d1ca7a9d4516be7291086bcd03be8f.jpeg","View")</f>
        <v>View</v>
      </c>
    </row>
    <row r="1299" spans="1:21" ht="20.399999999999999">
      <c r="A1299" s="6">
        <v>43424.159432870365</v>
      </c>
      <c r="B1299" s="7" t="str">
        <f>HYPERLINK("https://twitter.com/CanchadoLD","@CanchadoLD")</f>
        <v>@CanchadoLD</v>
      </c>
      <c r="C1299" s="8" t="s">
        <v>4715</v>
      </c>
      <c r="D1299" s="9" t="s">
        <v>4716</v>
      </c>
      <c r="E1299" s="10" t="str">
        <f>HYPERLINK("https://twitter.com/CanchadoLD/status/1064848223322497024","1064848223322497024")</f>
        <v>1064848223322497024</v>
      </c>
      <c r="F1299" s="12"/>
      <c r="G1299" s="12"/>
      <c r="H1299" s="12"/>
      <c r="I1299" s="13">
        <v>0</v>
      </c>
      <c r="J1299" s="13">
        <v>0</v>
      </c>
      <c r="K1299" s="14" t="str">
        <f>HYPERLINK("http://twitter.com/download/android","Twitter for Android")</f>
        <v>Twitter for Android</v>
      </c>
      <c r="L1299" s="13">
        <v>38</v>
      </c>
      <c r="M1299" s="13">
        <v>268</v>
      </c>
      <c r="N1299" s="13">
        <v>0</v>
      </c>
      <c r="O1299" s="15"/>
      <c r="P1299" s="6">
        <v>40383.188344907408</v>
      </c>
      <c r="Q1299" s="12"/>
      <c r="R1299" s="16" t="s">
        <v>4717</v>
      </c>
      <c r="S1299" s="12"/>
      <c r="T1299" s="12"/>
      <c r="U1299" s="10" t="str">
        <f>HYPERLINK("https://pbs.twimg.com/profile_images/1685559013/76322_1745264474036_1311499058_1910058_6390736_n.jpg","View")</f>
        <v>View</v>
      </c>
    </row>
    <row r="1300" spans="1:21" ht="30.6">
      <c r="A1300" s="6">
        <v>43424.159421296295</v>
      </c>
      <c r="B1300" s="7" t="str">
        <f>HYPERLINK("https://twitter.com/perea_momo","@perea_momo")</f>
        <v>@perea_momo</v>
      </c>
      <c r="C1300" s="8" t="s">
        <v>4718</v>
      </c>
      <c r="D1300" s="9" t="s">
        <v>4719</v>
      </c>
      <c r="E1300" s="10" t="str">
        <f>HYPERLINK("https://twitter.com/perea_momo/status/1064848219140702210","1064848219140702210")</f>
        <v>1064848219140702210</v>
      </c>
      <c r="F1300" s="12"/>
      <c r="G1300" s="12"/>
      <c r="H1300" s="12"/>
      <c r="I1300" s="13">
        <v>0</v>
      </c>
      <c r="J1300" s="13">
        <v>0</v>
      </c>
      <c r="K1300" s="14" t="str">
        <f>HYPERLINK("http://twitter.com/#!/download/ipad","Twitter for iPad")</f>
        <v>Twitter for iPad</v>
      </c>
      <c r="L1300" s="13">
        <v>20</v>
      </c>
      <c r="M1300" s="13">
        <v>42</v>
      </c>
      <c r="N1300" s="13">
        <v>0</v>
      </c>
      <c r="O1300" s="15"/>
      <c r="P1300" s="6">
        <v>42522.204317129625</v>
      </c>
      <c r="Q1300" s="17" t="s">
        <v>29</v>
      </c>
      <c r="R1300" s="16" t="s">
        <v>4720</v>
      </c>
      <c r="S1300" s="12"/>
      <c r="T1300" s="12"/>
      <c r="U1300" s="10" t="str">
        <f>HYPERLINK("https://pbs.twimg.com/profile_images/824627240310898688/-T8rF1D5.jpg","View")</f>
        <v>View</v>
      </c>
    </row>
    <row r="1301" spans="1:21" ht="20.399999999999999">
      <c r="A1301" s="6">
        <v>43424.157349537039</v>
      </c>
      <c r="B1301" s="7" t="str">
        <f>HYPERLINK("https://twitter.com/eltrombus","@eltrombus")</f>
        <v>@eltrombus</v>
      </c>
      <c r="C1301" s="8" t="s">
        <v>4721</v>
      </c>
      <c r="D1301" s="9" t="s">
        <v>4722</v>
      </c>
      <c r="E1301" s="10" t="str">
        <f>HYPERLINK("https://twitter.com/eltrombus/status/1064847469031366656","1064847469031366656")</f>
        <v>1064847469031366656</v>
      </c>
      <c r="F1301" s="12"/>
      <c r="G1301" s="12"/>
      <c r="H1301" s="12"/>
      <c r="I1301" s="13">
        <v>0</v>
      </c>
      <c r="J1301" s="13">
        <v>1</v>
      </c>
      <c r="K1301" s="14" t="str">
        <f>HYPERLINK("http://twitter.com/download/iphone","Twitter for iPhone")</f>
        <v>Twitter for iPhone</v>
      </c>
      <c r="L1301" s="13">
        <v>5</v>
      </c>
      <c r="M1301" s="13">
        <v>0</v>
      </c>
      <c r="N1301" s="13">
        <v>0</v>
      </c>
      <c r="O1301" s="15"/>
      <c r="P1301" s="6">
        <v>42403.153101851851</v>
      </c>
      <c r="Q1301" s="12"/>
      <c r="R1301" s="18"/>
      <c r="S1301" s="12"/>
      <c r="T1301" s="12"/>
      <c r="U1301" s="19" t="s">
        <v>368</v>
      </c>
    </row>
    <row r="1302" spans="1:21" ht="30.6">
      <c r="A1302" s="6">
        <v>43424.157187500001</v>
      </c>
      <c r="B1302" s="7" t="str">
        <f>HYPERLINK("https://twitter.com/jm_clavero","@jm_clavero")</f>
        <v>@jm_clavero</v>
      </c>
      <c r="C1302" s="8" t="s">
        <v>4723</v>
      </c>
      <c r="D1302" s="9" t="s">
        <v>4724</v>
      </c>
      <c r="E1302" s="10" t="str">
        <f>HYPERLINK("https://twitter.com/jm_clavero/status/1064847412601257984","1064847412601257984")</f>
        <v>1064847412601257984</v>
      </c>
      <c r="F1302" s="11" t="s">
        <v>4725</v>
      </c>
      <c r="G1302" s="12"/>
      <c r="H1302" s="12"/>
      <c r="I1302" s="13">
        <v>112</v>
      </c>
      <c r="J1302" s="13">
        <v>68</v>
      </c>
      <c r="K1302" s="14" t="str">
        <f>HYPERLINK("http://twitter.com","Twitter Web Client")</f>
        <v>Twitter Web Client</v>
      </c>
      <c r="L1302" s="13">
        <v>31945</v>
      </c>
      <c r="M1302" s="13">
        <v>1161</v>
      </c>
      <c r="N1302" s="13">
        <v>140</v>
      </c>
      <c r="O1302" s="15"/>
      <c r="P1302" s="6">
        <v>42430.159143518518</v>
      </c>
      <c r="Q1302" s="12"/>
      <c r="R1302" s="16" t="s">
        <v>4726</v>
      </c>
      <c r="S1302" s="12"/>
      <c r="T1302" s="12"/>
      <c r="U1302" s="10" t="str">
        <f>HYPERLINK("https://pbs.twimg.com/profile_images/874958097076424705/Z56uQ_Ie.jpg","View")</f>
        <v>View</v>
      </c>
    </row>
    <row r="1303" spans="1:21" ht="20.399999999999999">
      <c r="A1303" s="6">
        <v>43424.152962962966</v>
      </c>
      <c r="B1303" s="7" t="str">
        <f>HYPERLINK("https://twitter.com/lygofukisoby","@lygofukisoby")</f>
        <v>@lygofukisoby</v>
      </c>
      <c r="C1303" s="8" t="s">
        <v>4727</v>
      </c>
      <c r="D1303" s="9" t="s">
        <v>4576</v>
      </c>
      <c r="E1303" s="10" t="str">
        <f>HYPERLINK("https://twitter.com/lygofukisoby/status/1064845880002527237","1064845880002527237")</f>
        <v>1064845880002527237</v>
      </c>
      <c r="F1303" s="12"/>
      <c r="G1303" s="11" t="s">
        <v>4728</v>
      </c>
      <c r="H1303" s="12"/>
      <c r="I1303" s="13">
        <v>0</v>
      </c>
      <c r="J1303" s="13">
        <v>0</v>
      </c>
      <c r="K1303" s="14" t="str">
        <f>HYPERLINK("https://ifttt.com","IFTTT")</f>
        <v>IFTTT</v>
      </c>
      <c r="L1303" s="13">
        <v>51</v>
      </c>
      <c r="M1303" s="13">
        <v>79</v>
      </c>
      <c r="N1303" s="13">
        <v>3</v>
      </c>
      <c r="O1303" s="15"/>
      <c r="P1303" s="6">
        <v>41705.792800925927</v>
      </c>
      <c r="Q1303" s="17" t="s">
        <v>2575</v>
      </c>
      <c r="R1303" s="16" t="s">
        <v>4729</v>
      </c>
      <c r="S1303" s="12"/>
      <c r="T1303" s="12"/>
      <c r="U1303" s="10" t="str">
        <f>HYPERLINK("https://pbs.twimg.com/profile_images/456020719474733056/_aI4ObiR.jpeg","View")</f>
        <v>View</v>
      </c>
    </row>
    <row r="1304" spans="1:21" ht="20.399999999999999">
      <c r="A1304" s="6">
        <v>43424.152812500004</v>
      </c>
      <c r="B1304" s="7" t="str">
        <f>HYPERLINK("https://twitter.com/bernabbot","@bernabbot")</f>
        <v>@bernabbot</v>
      </c>
      <c r="C1304" s="8" t="s">
        <v>4730</v>
      </c>
      <c r="D1304" s="9" t="s">
        <v>4731</v>
      </c>
      <c r="E1304" s="10" t="str">
        <f>HYPERLINK("https://twitter.com/bernabbot/status/1064845827670241280","1064845827670241280")</f>
        <v>1064845827670241280</v>
      </c>
      <c r="F1304" s="12"/>
      <c r="G1304" s="12"/>
      <c r="H1304" s="12"/>
      <c r="I1304" s="13">
        <v>0</v>
      </c>
      <c r="J1304" s="13">
        <v>0</v>
      </c>
      <c r="K1304" s="14" t="str">
        <f>HYPERLINK("https://www.fitmore.es/bernabot","Bernabbot")</f>
        <v>Bernabbot</v>
      </c>
      <c r="L1304" s="13">
        <v>68</v>
      </c>
      <c r="M1304" s="13">
        <v>2</v>
      </c>
      <c r="N1304" s="13">
        <v>0</v>
      </c>
      <c r="O1304" s="15"/>
      <c r="P1304" s="6">
        <v>43423.287824074076</v>
      </c>
      <c r="Q1304" s="12"/>
      <c r="R1304" s="18"/>
      <c r="S1304" s="12"/>
      <c r="T1304" s="12"/>
      <c r="U1304" s="10" t="str">
        <f>HYPERLINK("https://pbs.twimg.com/profile_images/1064534846566031361/saZW9ZYx.jpg","View")</f>
        <v>View</v>
      </c>
    </row>
    <row r="1305" spans="1:21" ht="40.799999999999997">
      <c r="A1305" s="6">
        <v>43424.15215277778</v>
      </c>
      <c r="B1305" s="7" t="str">
        <f>HYPERLINK("https://twitter.com/jatirado","@jatirado")</f>
        <v>@jatirado</v>
      </c>
      <c r="C1305" s="8" t="s">
        <v>4488</v>
      </c>
      <c r="D1305" s="9" t="s">
        <v>4576</v>
      </c>
      <c r="E1305" s="10" t="str">
        <f>HYPERLINK("https://twitter.com/jatirado/status/1064845586598322177","1064845586598322177")</f>
        <v>1064845586598322177</v>
      </c>
      <c r="F1305" s="11" t="s">
        <v>4732</v>
      </c>
      <c r="G1305" s="11" t="s">
        <v>4733</v>
      </c>
      <c r="H1305" s="12"/>
      <c r="I1305" s="13">
        <v>3</v>
      </c>
      <c r="J1305" s="13">
        <v>1</v>
      </c>
      <c r="K1305" s="14" t="str">
        <f>HYPERLINK("https://dlvrit.com/","dlvr.it")</f>
        <v>dlvr.it</v>
      </c>
      <c r="L1305" s="13">
        <v>81725</v>
      </c>
      <c r="M1305" s="13">
        <v>54342</v>
      </c>
      <c r="N1305" s="13">
        <v>1027</v>
      </c>
      <c r="O1305" s="15"/>
      <c r="P1305" s="6">
        <v>40353.177581018521</v>
      </c>
      <c r="Q1305" s="17" t="s">
        <v>76</v>
      </c>
      <c r="R1305" s="16" t="s">
        <v>4492</v>
      </c>
      <c r="S1305" s="11" t="s">
        <v>4493</v>
      </c>
      <c r="T1305" s="12"/>
      <c r="U1305" s="10" t="str">
        <f>HYPERLINK("https://pbs.twimg.com/profile_images/485680559742791680/dg68o8vH.jpeg","View")</f>
        <v>View</v>
      </c>
    </row>
    <row r="1306" spans="1:21" ht="51">
      <c r="A1306" s="6">
        <v>43424.150902777779</v>
      </c>
      <c r="B1306" s="7" t="str">
        <f>HYPERLINK("https://twitter.com/AdriLL98","@AdriLL98")</f>
        <v>@AdriLL98</v>
      </c>
      <c r="C1306" s="8" t="s">
        <v>3872</v>
      </c>
      <c r="D1306" s="9" t="s">
        <v>4734</v>
      </c>
      <c r="E1306" s="10" t="str">
        <f>HYPERLINK("https://twitter.com/AdriLL98/status/1064845134049759232","1064845134049759232")</f>
        <v>1064845134049759232</v>
      </c>
      <c r="F1306" s="12"/>
      <c r="G1306" s="12"/>
      <c r="H1306" s="12"/>
      <c r="I1306" s="13">
        <v>0</v>
      </c>
      <c r="J1306" s="13">
        <v>1</v>
      </c>
      <c r="K1306" s="14" t="str">
        <f t="shared" ref="K1306:K1309" si="234">HYPERLINK("http://twitter.com/download/android","Twitter for Android")</f>
        <v>Twitter for Android</v>
      </c>
      <c r="L1306" s="13">
        <v>470</v>
      </c>
      <c r="M1306" s="13">
        <v>347</v>
      </c>
      <c r="N1306" s="13">
        <v>0</v>
      </c>
      <c r="O1306" s="15"/>
      <c r="P1306" s="6">
        <v>41184.569479166668</v>
      </c>
      <c r="Q1306" s="17" t="s">
        <v>4735</v>
      </c>
      <c r="R1306" s="18"/>
      <c r="S1306" s="12"/>
      <c r="T1306" s="12"/>
      <c r="U1306" s="10" t="str">
        <f>HYPERLINK("https://pbs.twimg.com/profile_images/949369413513433089/OKCPQ_Xo.jpg","View")</f>
        <v>View</v>
      </c>
    </row>
    <row r="1307" spans="1:21" ht="61.2">
      <c r="A1307" s="6">
        <v>43424.150393518517</v>
      </c>
      <c r="B1307" s="7" t="str">
        <f>HYPERLINK("https://twitter.com/JUAN_JARA_ESP","@JUAN_JARA_ESP")</f>
        <v>@JUAN_JARA_ESP</v>
      </c>
      <c r="C1307" s="8" t="s">
        <v>4736</v>
      </c>
      <c r="D1307" s="9" t="s">
        <v>4737</v>
      </c>
      <c r="E1307" s="10" t="str">
        <f>HYPERLINK("https://twitter.com/JUAN_JARA_ESP/status/1064844949756280833","1064844949756280833")</f>
        <v>1064844949756280833</v>
      </c>
      <c r="F1307" s="11" t="s">
        <v>748</v>
      </c>
      <c r="G1307" s="12"/>
      <c r="H1307" s="12"/>
      <c r="I1307" s="13">
        <v>0</v>
      </c>
      <c r="J1307" s="13">
        <v>2</v>
      </c>
      <c r="K1307" s="14" t="str">
        <f t="shared" si="234"/>
        <v>Twitter for Android</v>
      </c>
      <c r="L1307" s="13">
        <v>2927</v>
      </c>
      <c r="M1307" s="13">
        <v>4526</v>
      </c>
      <c r="N1307" s="13">
        <v>34</v>
      </c>
      <c r="O1307" s="15"/>
      <c r="P1307" s="6">
        <v>42077.207534722227</v>
      </c>
      <c r="Q1307" s="17" t="s">
        <v>4738</v>
      </c>
      <c r="R1307" s="16" t="s">
        <v>4739</v>
      </c>
      <c r="S1307" s="12"/>
      <c r="T1307" s="12"/>
      <c r="U1307" s="10" t="str">
        <f>HYPERLINK("https://pbs.twimg.com/profile_images/1051604841729003522/5eBWPJGm.jpg","View")</f>
        <v>View</v>
      </c>
    </row>
    <row r="1308" spans="1:21" ht="51">
      <c r="A1308" s="6">
        <v>43424.150057870371</v>
      </c>
      <c r="B1308" s="7" t="str">
        <f>HYPERLINK("https://twitter.com/neapanda97","@neapanda97")</f>
        <v>@neapanda97</v>
      </c>
      <c r="C1308" s="8" t="s">
        <v>4740</v>
      </c>
      <c r="D1308" s="9" t="s">
        <v>4741</v>
      </c>
      <c r="E1308" s="10" t="str">
        <f>HYPERLINK("https://twitter.com/neapanda97/status/1064844826452082688","1064844826452082688")</f>
        <v>1064844826452082688</v>
      </c>
      <c r="F1308" s="12"/>
      <c r="G1308" s="12"/>
      <c r="H1308" s="12"/>
      <c r="I1308" s="13">
        <v>2</v>
      </c>
      <c r="J1308" s="13">
        <v>2</v>
      </c>
      <c r="K1308" s="14" t="str">
        <f t="shared" si="234"/>
        <v>Twitter for Android</v>
      </c>
      <c r="L1308" s="13">
        <v>12</v>
      </c>
      <c r="M1308" s="13">
        <v>16</v>
      </c>
      <c r="N1308" s="13">
        <v>0</v>
      </c>
      <c r="O1308" s="15"/>
      <c r="P1308" s="6">
        <v>41402.004687499997</v>
      </c>
      <c r="Q1308" s="17" t="s">
        <v>851</v>
      </c>
      <c r="R1308" s="18"/>
      <c r="S1308" s="12"/>
      <c r="T1308" s="12"/>
      <c r="U1308" s="10" t="str">
        <f>HYPERLINK("https://pbs.twimg.com/profile_images/3629851141/19d3a3a52006af4843d1a533b0d4aa0e.jpeg","View")</f>
        <v>View</v>
      </c>
    </row>
    <row r="1309" spans="1:21" ht="40.799999999999997">
      <c r="A1309" s="6">
        <v>43424.147743055553</v>
      </c>
      <c r="B1309" s="7" t="str">
        <f>HYPERLINK("https://twitter.com/Josma1946Jose","@Josma1946Jose")</f>
        <v>@Josma1946Jose</v>
      </c>
      <c r="C1309" s="8" t="s">
        <v>124</v>
      </c>
      <c r="D1309" s="9" t="s">
        <v>4742</v>
      </c>
      <c r="E1309" s="10" t="str">
        <f>HYPERLINK("https://twitter.com/Josma1946Jose/status/1064843987499012096","1064843987499012096")</f>
        <v>1064843987499012096</v>
      </c>
      <c r="F1309" s="12"/>
      <c r="G1309" s="12"/>
      <c r="H1309" s="12"/>
      <c r="I1309" s="13">
        <v>0</v>
      </c>
      <c r="J1309" s="13">
        <v>0</v>
      </c>
      <c r="K1309" s="14" t="str">
        <f t="shared" si="234"/>
        <v>Twitter for Android</v>
      </c>
      <c r="L1309" s="13">
        <v>83</v>
      </c>
      <c r="M1309" s="13">
        <v>214</v>
      </c>
      <c r="N1309" s="13">
        <v>3</v>
      </c>
      <c r="O1309" s="15"/>
      <c r="P1309" s="6">
        <v>41437.527326388888</v>
      </c>
      <c r="Q1309" s="12"/>
      <c r="R1309" s="16" t="s">
        <v>126</v>
      </c>
      <c r="S1309" s="12"/>
      <c r="T1309" s="12"/>
      <c r="U1309" s="10" t="str">
        <f>HYPERLINK("https://pbs.twimg.com/profile_images/378800000803479852/f6f3db4a3c50d1d512a08031d1045f00.jpeg","View")</f>
        <v>View</v>
      </c>
    </row>
    <row r="1310" spans="1:21" ht="40.799999999999997">
      <c r="A1310" s="6">
        <v>43424.147569444445</v>
      </c>
      <c r="B1310" s="7" t="str">
        <f>HYPERLINK("https://twitter.com/LaVanguardia","@LaVanguardia")</f>
        <v>@LaVanguardia</v>
      </c>
      <c r="C1310" s="8" t="s">
        <v>3704</v>
      </c>
      <c r="D1310" s="9" t="s">
        <v>4743</v>
      </c>
      <c r="E1310" s="10" t="str">
        <f>HYPERLINK("https://twitter.com/LaVanguardia/status/1064843924207017984","1064843924207017984")</f>
        <v>1064843924207017984</v>
      </c>
      <c r="F1310" s="11" t="s">
        <v>4744</v>
      </c>
      <c r="G1310" s="12"/>
      <c r="H1310" s="12"/>
      <c r="I1310" s="13">
        <v>1</v>
      </c>
      <c r="J1310" s="13">
        <v>1</v>
      </c>
      <c r="K1310" s="14" t="str">
        <f>HYPERLINK("http://www.lavanguardia.es","App publicación twits DGRID")</f>
        <v>App publicación twits DGRID</v>
      </c>
      <c r="L1310" s="13">
        <v>997176</v>
      </c>
      <c r="M1310" s="13">
        <v>523</v>
      </c>
      <c r="N1310" s="13">
        <v>12534</v>
      </c>
      <c r="O1310" s="19" t="s">
        <v>74</v>
      </c>
      <c r="P1310" s="6">
        <v>40071.289548611108</v>
      </c>
      <c r="Q1310" s="17" t="s">
        <v>187</v>
      </c>
      <c r="R1310" s="16" t="s">
        <v>3705</v>
      </c>
      <c r="S1310" s="11" t="s">
        <v>3706</v>
      </c>
      <c r="T1310" s="12"/>
      <c r="U1310" s="10" t="str">
        <f>HYPERLINK("https://pbs.twimg.com/profile_images/936873783721320448/6Q97S0pp.jpg","View")</f>
        <v>View</v>
      </c>
    </row>
    <row r="1311" spans="1:21" ht="30.6">
      <c r="A1311" s="6">
        <v>43424.147465277776</v>
      </c>
      <c r="B1311" s="7" t="str">
        <f>HYPERLINK("https://twitter.com/TeresaN511","@TeresaN511")</f>
        <v>@TeresaN511</v>
      </c>
      <c r="C1311" s="8" t="s">
        <v>787</v>
      </c>
      <c r="D1311" s="9" t="s">
        <v>4745</v>
      </c>
      <c r="E1311" s="10" t="str">
        <f>HYPERLINK("https://twitter.com/TeresaN511/status/1064843887821422592","1064843887821422592")</f>
        <v>1064843887821422592</v>
      </c>
      <c r="F1311" s="11" t="s">
        <v>4746</v>
      </c>
      <c r="G1311" s="11" t="s">
        <v>4747</v>
      </c>
      <c r="H1311" s="12"/>
      <c r="I1311" s="13">
        <v>0</v>
      </c>
      <c r="J1311" s="13">
        <v>0</v>
      </c>
      <c r="K1311" s="14" t="str">
        <f>HYPERLINK("https://ifttt.com","IFTTT")</f>
        <v>IFTTT</v>
      </c>
      <c r="L1311" s="13">
        <v>22</v>
      </c>
      <c r="M1311" s="13">
        <v>13</v>
      </c>
      <c r="N1311" s="13">
        <v>2</v>
      </c>
      <c r="O1311" s="15"/>
      <c r="P1311" s="6">
        <v>42736.200069444443</v>
      </c>
      <c r="Q1311" s="12"/>
      <c r="R1311" s="16" t="s">
        <v>4748</v>
      </c>
      <c r="S1311" s="12"/>
      <c r="T1311" s="12"/>
      <c r="U1311" s="10" t="str">
        <f>HYPERLINK("https://pbs.twimg.com/profile_images/819116744342114304/ytQFaOmN.jpg","View")</f>
        <v>View</v>
      </c>
    </row>
    <row r="1312" spans="1:21" ht="30.6">
      <c r="A1312" s="6">
        <v>43424.145486111112</v>
      </c>
      <c r="B1312" s="7" t="str">
        <f>HYPERLINK("https://twitter.com/DebatAlRojoVivo","@DebatAlRojoVivo")</f>
        <v>@DebatAlRojoVivo</v>
      </c>
      <c r="C1312" s="8" t="s">
        <v>4753</v>
      </c>
      <c r="D1312" s="9" t="s">
        <v>4745</v>
      </c>
      <c r="E1312" s="10" t="str">
        <f>HYPERLINK("https://twitter.com/DebatAlRojoVivo/status/1064843169739796482","1064843169739796482")</f>
        <v>1064843169739796482</v>
      </c>
      <c r="F1312" s="11" t="s">
        <v>4746</v>
      </c>
      <c r="G1312" s="11" t="s">
        <v>4747</v>
      </c>
      <c r="H1312" s="12"/>
      <c r="I1312" s="13">
        <v>6</v>
      </c>
      <c r="J1312" s="13">
        <v>2</v>
      </c>
      <c r="K1312" s="14" t="str">
        <f>HYPERLINK("http://dogtrack.es","DogTrack_Oficial")</f>
        <v>DogTrack_Oficial</v>
      </c>
      <c r="L1312" s="13">
        <v>484476</v>
      </c>
      <c r="M1312" s="13">
        <v>279</v>
      </c>
      <c r="N1312" s="13">
        <v>2909</v>
      </c>
      <c r="O1312" s="19" t="s">
        <v>74</v>
      </c>
      <c r="P1312" s="6">
        <v>40555.49763888889</v>
      </c>
      <c r="Q1312" s="12"/>
      <c r="R1312" s="16" t="s">
        <v>4754</v>
      </c>
      <c r="S1312" s="11" t="s">
        <v>4755</v>
      </c>
      <c r="T1312" s="12"/>
      <c r="U1312" s="10" t="str">
        <f>HYPERLINK("https://pbs.twimg.com/profile_images/1063014308857237504/GEyVz5-l.jpg","View")</f>
        <v>View</v>
      </c>
    </row>
    <row r="1313" spans="1:21" ht="61.2">
      <c r="A1313" s="6">
        <v>43424.142395833333</v>
      </c>
      <c r="B1313" s="7" t="str">
        <f>HYPERLINK("https://twitter.com/stopsucesionesP","@stopsucesionesP")</f>
        <v>@stopsucesionesP</v>
      </c>
      <c r="C1313" s="8" t="s">
        <v>4756</v>
      </c>
      <c r="D1313" s="9" t="s">
        <v>4757</v>
      </c>
      <c r="E1313" s="10" t="str">
        <f>HYPERLINK("https://twitter.com/stopsucesionesP/status/1064842049684426752","1064842049684426752")</f>
        <v>1064842049684426752</v>
      </c>
      <c r="F1313" s="11" t="s">
        <v>748</v>
      </c>
      <c r="G1313" s="12"/>
      <c r="H1313" s="12"/>
      <c r="I1313" s="13">
        <v>1</v>
      </c>
      <c r="J1313" s="13">
        <v>1</v>
      </c>
      <c r="K1313" s="14" t="str">
        <f t="shared" ref="K1313:K1315" si="235">HYPERLINK("http://twitter.com/download/android","Twitter for Android")</f>
        <v>Twitter for Android</v>
      </c>
      <c r="L1313" s="13">
        <v>192</v>
      </c>
      <c r="M1313" s="13">
        <v>521</v>
      </c>
      <c r="N1313" s="13">
        <v>0</v>
      </c>
      <c r="O1313" s="15"/>
      <c r="P1313" s="6">
        <v>42993.158506944441</v>
      </c>
      <c r="Q1313" s="12"/>
      <c r="R1313" s="16" t="s">
        <v>4758</v>
      </c>
      <c r="S1313" s="12"/>
      <c r="T1313" s="12"/>
      <c r="U1313" s="10" t="str">
        <f>HYPERLINK("https://pbs.twimg.com/profile_images/908650759570456576/7UVxBtj8.jpg","View")</f>
        <v>View</v>
      </c>
    </row>
    <row r="1314" spans="1:21" ht="61.2">
      <c r="A1314" s="6">
        <v>43424.141851851848</v>
      </c>
      <c r="B1314" s="7" t="str">
        <f>HYPERLINK("https://twitter.com/stopsucesionCyL","@stopsucesionCyL")</f>
        <v>@stopsucesionCyL</v>
      </c>
      <c r="C1314" s="8" t="s">
        <v>4759</v>
      </c>
      <c r="D1314" s="9" t="s">
        <v>4757</v>
      </c>
      <c r="E1314" s="10" t="str">
        <f>HYPERLINK("https://twitter.com/stopsucesionCyL/status/1064841854334709760","1064841854334709760")</f>
        <v>1064841854334709760</v>
      </c>
      <c r="F1314" s="11" t="s">
        <v>748</v>
      </c>
      <c r="G1314" s="12"/>
      <c r="H1314" s="12"/>
      <c r="I1314" s="13">
        <v>0</v>
      </c>
      <c r="J1314" s="13">
        <v>1</v>
      </c>
      <c r="K1314" s="14" t="str">
        <f t="shared" si="235"/>
        <v>Twitter for Android</v>
      </c>
      <c r="L1314" s="13">
        <v>91</v>
      </c>
      <c r="M1314" s="13">
        <v>175</v>
      </c>
      <c r="N1314" s="13">
        <v>3</v>
      </c>
      <c r="O1314" s="15"/>
      <c r="P1314" s="6">
        <v>42924.146064814813</v>
      </c>
      <c r="Q1314" s="17" t="s">
        <v>732</v>
      </c>
      <c r="R1314" s="16" t="s">
        <v>4760</v>
      </c>
      <c r="S1314" s="11" t="s">
        <v>3423</v>
      </c>
      <c r="T1314" s="12"/>
      <c r="U1314" s="10" t="str">
        <f>HYPERLINK("https://pbs.twimg.com/profile_images/883636379095379969/tz1QJw_M.jpg","View")</f>
        <v>View</v>
      </c>
    </row>
    <row r="1315" spans="1:21" ht="61.2">
      <c r="A1315" s="6">
        <v>43424.141481481478</v>
      </c>
      <c r="B1315" s="7" t="str">
        <f>HYPERLINK("https://twitter.com/StopsucesionesA","@StopsucesionesA")</f>
        <v>@StopsucesionesA</v>
      </c>
      <c r="C1315" s="8" t="s">
        <v>4761</v>
      </c>
      <c r="D1315" s="9" t="s">
        <v>4757</v>
      </c>
      <c r="E1315" s="10" t="str">
        <f>HYPERLINK("https://twitter.com/StopsucesionesA/status/1064841720767160320","1064841720767160320")</f>
        <v>1064841720767160320</v>
      </c>
      <c r="F1315" s="11" t="s">
        <v>748</v>
      </c>
      <c r="G1315" s="12"/>
      <c r="H1315" s="12"/>
      <c r="I1315" s="13">
        <v>0</v>
      </c>
      <c r="J1315" s="13">
        <v>1</v>
      </c>
      <c r="K1315" s="14" t="str">
        <f t="shared" si="235"/>
        <v>Twitter for Android</v>
      </c>
      <c r="L1315" s="13">
        <v>540</v>
      </c>
      <c r="M1315" s="13">
        <v>946</v>
      </c>
      <c r="N1315" s="13">
        <v>5</v>
      </c>
      <c r="O1315" s="15"/>
      <c r="P1315" s="6">
        <v>42816.262129629627</v>
      </c>
      <c r="Q1315" s="12"/>
      <c r="R1315" s="16" t="s">
        <v>4762</v>
      </c>
      <c r="S1315" s="11" t="s">
        <v>3423</v>
      </c>
      <c r="T1315" s="12"/>
      <c r="U1315" s="10" t="str">
        <f>HYPERLINK("https://pbs.twimg.com/profile_images/875306473181655040/Bw6B50Qa.jpg","View")</f>
        <v>View</v>
      </c>
    </row>
    <row r="1316" spans="1:21" ht="30.6">
      <c r="A1316" s="6">
        <v>43424.141458333332</v>
      </c>
      <c r="B1316" s="7" t="str">
        <f>HYPERLINK("https://twitter.com/ontibe","@ontibe")</f>
        <v>@ontibe</v>
      </c>
      <c r="C1316" s="8" t="s">
        <v>2275</v>
      </c>
      <c r="D1316" s="9" t="s">
        <v>3262</v>
      </c>
      <c r="E1316" s="10" t="str">
        <f>HYPERLINK("https://twitter.com/ontibe/status/1064841709891268608","1064841709891268608")</f>
        <v>1064841709891268608</v>
      </c>
      <c r="F1316" s="11" t="s">
        <v>3263</v>
      </c>
      <c r="G1316" s="12"/>
      <c r="H1316" s="12"/>
      <c r="I1316" s="13">
        <v>0</v>
      </c>
      <c r="J1316" s="13">
        <v>0</v>
      </c>
      <c r="K1316" s="14" t="str">
        <f>HYPERLINK("http://twitter.com","Twitter Web Client")</f>
        <v>Twitter Web Client</v>
      </c>
      <c r="L1316" s="13">
        <v>432</v>
      </c>
      <c r="M1316" s="13">
        <v>1265</v>
      </c>
      <c r="N1316" s="13">
        <v>1</v>
      </c>
      <c r="O1316" s="15"/>
      <c r="P1316" s="6">
        <v>40673.252766203703</v>
      </c>
      <c r="Q1316" s="17" t="s">
        <v>2277</v>
      </c>
      <c r="R1316" s="16" t="s">
        <v>2278</v>
      </c>
      <c r="S1316" s="12"/>
      <c r="T1316" s="12"/>
      <c r="U1316" s="10" t="str">
        <f>HYPERLINK("https://pbs.twimg.com/profile_images/867069058037972993/9c2-Wrp7.jpg","View")</f>
        <v>View</v>
      </c>
    </row>
    <row r="1317" spans="1:21" ht="61.2">
      <c r="A1317" s="6">
        <v>43424.141041666662</v>
      </c>
      <c r="B1317" s="7" t="str">
        <f>HYPERLINK("https://twitter.com/TaboadaEligio","@TaboadaEligio")</f>
        <v>@TaboadaEligio</v>
      </c>
      <c r="C1317" s="8" t="s">
        <v>3420</v>
      </c>
      <c r="D1317" s="9" t="s">
        <v>4757</v>
      </c>
      <c r="E1317" s="10" t="str">
        <f>HYPERLINK("https://twitter.com/TaboadaEligio/status/1064841559986835456","1064841559986835456")</f>
        <v>1064841559986835456</v>
      </c>
      <c r="F1317" s="11" t="s">
        <v>748</v>
      </c>
      <c r="G1317" s="12"/>
      <c r="H1317" s="12"/>
      <c r="I1317" s="13">
        <v>2</v>
      </c>
      <c r="J1317" s="13">
        <v>3</v>
      </c>
      <c r="K1317" s="14" t="str">
        <f t="shared" ref="K1317:K1318" si="236">HYPERLINK("http://twitter.com/download/android","Twitter for Android")</f>
        <v>Twitter for Android</v>
      </c>
      <c r="L1317" s="13">
        <v>1495</v>
      </c>
      <c r="M1317" s="13">
        <v>3577</v>
      </c>
      <c r="N1317" s="13">
        <v>12</v>
      </c>
      <c r="O1317" s="15"/>
      <c r="P1317" s="6">
        <v>41162.801307870366</v>
      </c>
      <c r="Q1317" s="17" t="s">
        <v>29</v>
      </c>
      <c r="R1317" s="16" t="s">
        <v>3422</v>
      </c>
      <c r="S1317" s="11" t="s">
        <v>3423</v>
      </c>
      <c r="T1317" s="12"/>
      <c r="U1317" s="10" t="str">
        <f>HYPERLINK("https://pbs.twimg.com/profile_images/886290978465820672/VOjp9RK4.jpg","View")</f>
        <v>View</v>
      </c>
    </row>
    <row r="1318" spans="1:21" ht="61.2">
      <c r="A1318" s="6">
        <v>43424.14063657407</v>
      </c>
      <c r="B1318" s="7" t="str">
        <f>HYPERLINK("https://twitter.com/StopsucesionesE","@StopsucesionesE")</f>
        <v>@StopsucesionesE</v>
      </c>
      <c r="C1318" s="8" t="s">
        <v>4763</v>
      </c>
      <c r="D1318" s="9" t="s">
        <v>4757</v>
      </c>
      <c r="E1318" s="10" t="str">
        <f>HYPERLINK("https://twitter.com/StopsucesionesE/status/1064841413333057536","1064841413333057536")</f>
        <v>1064841413333057536</v>
      </c>
      <c r="F1318" s="11" t="s">
        <v>748</v>
      </c>
      <c r="G1318" s="12"/>
      <c r="H1318" s="12"/>
      <c r="I1318" s="13">
        <v>0</v>
      </c>
      <c r="J1318" s="13">
        <v>1</v>
      </c>
      <c r="K1318" s="14" t="str">
        <f t="shared" si="236"/>
        <v>Twitter for Android</v>
      </c>
      <c r="L1318" s="13">
        <v>300</v>
      </c>
      <c r="M1318" s="13">
        <v>1018</v>
      </c>
      <c r="N1318" s="13">
        <v>2</v>
      </c>
      <c r="O1318" s="15"/>
      <c r="P1318" s="6">
        <v>42833.67260416667</v>
      </c>
      <c r="Q1318" s="17" t="s">
        <v>2706</v>
      </c>
      <c r="R1318" s="16" t="s">
        <v>4764</v>
      </c>
      <c r="S1318" s="11" t="s">
        <v>3423</v>
      </c>
      <c r="T1318" s="12"/>
      <c r="U1318" s="10" t="str">
        <f>HYPERLINK("https://pbs.twimg.com/profile_images/850850179674759168/vcaG2k0W.jpg","View")</f>
        <v>View</v>
      </c>
    </row>
    <row r="1319" spans="1:21" ht="61.2">
      <c r="A1319" s="6">
        <v>43424.136504629627</v>
      </c>
      <c r="B1319" s="7" t="str">
        <f>HYPERLINK("https://twitter.com/LaHungara77","@LaHungara77")</f>
        <v>@LaHungara77</v>
      </c>
      <c r="C1319" s="8" t="s">
        <v>4765</v>
      </c>
      <c r="D1319" s="9" t="s">
        <v>4766</v>
      </c>
      <c r="E1319" s="10" t="str">
        <f>HYPERLINK("https://twitter.com/LaHungara77/status/1064839916201353216","1064839916201353216")</f>
        <v>1064839916201353216</v>
      </c>
      <c r="F1319" s="17" t="s">
        <v>4767</v>
      </c>
      <c r="G1319" s="12"/>
      <c r="H1319" s="12"/>
      <c r="I1319" s="13">
        <v>0</v>
      </c>
      <c r="J1319" s="13">
        <v>0</v>
      </c>
      <c r="K1319" s="14" t="str">
        <f>HYPERLINK("http://twitter.com","Twitter Web Client")</f>
        <v>Twitter Web Client</v>
      </c>
      <c r="L1319" s="13">
        <v>160</v>
      </c>
      <c r="M1319" s="13">
        <v>425</v>
      </c>
      <c r="N1319" s="13">
        <v>1</v>
      </c>
      <c r="O1319" s="15"/>
      <c r="P1319" s="6">
        <v>43156.605729166666</v>
      </c>
      <c r="Q1319" s="12"/>
      <c r="R1319" s="18"/>
      <c r="S1319" s="12"/>
      <c r="T1319" s="12"/>
      <c r="U1319" s="10" t="str">
        <f>HYPERLINK("https://pbs.twimg.com/profile_images/1006939069010542598/h5qF9Zkn.jpg","View")</f>
        <v>View</v>
      </c>
    </row>
    <row r="1320" spans="1:21" ht="51">
      <c r="A1320" s="6">
        <v>43424.13517361111</v>
      </c>
      <c r="B1320" s="7" t="str">
        <f>HYPERLINK("https://twitter.com/rubenlodi","@rubenlodi")</f>
        <v>@rubenlodi</v>
      </c>
      <c r="C1320" s="8" t="s">
        <v>4768</v>
      </c>
      <c r="D1320" s="9" t="s">
        <v>4769</v>
      </c>
      <c r="E1320" s="10" t="str">
        <f>HYPERLINK("https://twitter.com/rubenlodi/status/1064839434099703809","1064839434099703809")</f>
        <v>1064839434099703809</v>
      </c>
      <c r="F1320" s="12"/>
      <c r="G1320" s="12"/>
      <c r="H1320" s="12"/>
      <c r="I1320" s="13">
        <v>3</v>
      </c>
      <c r="J1320" s="13">
        <v>7</v>
      </c>
      <c r="K1320" s="14" t="str">
        <f>HYPERLINK("http://twitter.com/download/android","Twitter for Android")</f>
        <v>Twitter for Android</v>
      </c>
      <c r="L1320" s="13">
        <v>17463</v>
      </c>
      <c r="M1320" s="13">
        <v>10376</v>
      </c>
      <c r="N1320" s="13">
        <v>276</v>
      </c>
      <c r="O1320" s="15"/>
      <c r="P1320" s="6">
        <v>40635.109189814815</v>
      </c>
      <c r="Q1320" s="17" t="s">
        <v>4770</v>
      </c>
      <c r="R1320" s="16" t="s">
        <v>4771</v>
      </c>
      <c r="S1320" s="12"/>
      <c r="T1320" s="12"/>
      <c r="U1320" s="10" t="str">
        <f>HYPERLINK("https://pbs.twimg.com/profile_images/775597824515923968/xtS65Wap.jpg","View")</f>
        <v>View</v>
      </c>
    </row>
    <row r="1321" spans="1:21" ht="20.399999999999999">
      <c r="A1321" s="6">
        <v>43424.133796296301</v>
      </c>
      <c r="B1321" s="7" t="str">
        <f>HYPERLINK("https://twitter.com/titulares24hora","@titulares24hora")</f>
        <v>@titulares24hora</v>
      </c>
      <c r="C1321" s="8" t="s">
        <v>654</v>
      </c>
      <c r="D1321" s="9" t="s">
        <v>3630</v>
      </c>
      <c r="E1321" s="10" t="str">
        <f>HYPERLINK("https://twitter.com/titulares24hora/status/1064838933652082693","1064838933652082693")</f>
        <v>1064838933652082693</v>
      </c>
      <c r="F1321" s="12"/>
      <c r="G1321" s="12"/>
      <c r="H1321" s="12"/>
      <c r="I1321" s="13">
        <v>0</v>
      </c>
      <c r="J1321" s="13">
        <v>0</v>
      </c>
      <c r="K1321" s="14" t="str">
        <f t="shared" ref="K1321:K1322" si="237">HYPERLINK("https://ifttt.com","IFTTT")</f>
        <v>IFTTT</v>
      </c>
      <c r="L1321" s="13">
        <v>394</v>
      </c>
      <c r="M1321" s="13">
        <v>1463</v>
      </c>
      <c r="N1321" s="13">
        <v>2</v>
      </c>
      <c r="O1321" s="15"/>
      <c r="P1321" s="6">
        <v>42508.071805555555</v>
      </c>
      <c r="Q1321" s="12"/>
      <c r="R1321" s="16" t="s">
        <v>655</v>
      </c>
      <c r="S1321" s="12"/>
      <c r="T1321" s="12"/>
      <c r="U1321" s="10" t="str">
        <f>HYPERLINK("https://pbs.twimg.com/profile_images/732855169034166272/A8O2LY2J.jpg","View")</f>
        <v>View</v>
      </c>
    </row>
    <row r="1322" spans="1:21" ht="20.399999999999999">
      <c r="A1322" s="6">
        <v>43424.133564814816</v>
      </c>
      <c r="B1322" s="7" t="str">
        <f>HYPERLINK("https://twitter.com/adelacafe93","@adelacafe93")</f>
        <v>@adelacafe93</v>
      </c>
      <c r="C1322" s="8" t="s">
        <v>658</v>
      </c>
      <c r="D1322" s="9" t="s">
        <v>3630</v>
      </c>
      <c r="E1322" s="10" t="str">
        <f>HYPERLINK("https://twitter.com/adelacafe93/status/1064838851481477120","1064838851481477120")</f>
        <v>1064838851481477120</v>
      </c>
      <c r="F1322" s="11" t="s">
        <v>4772</v>
      </c>
      <c r="G1322" s="12"/>
      <c r="H1322" s="12"/>
      <c r="I1322" s="13">
        <v>0</v>
      </c>
      <c r="J1322" s="13">
        <v>0</v>
      </c>
      <c r="K1322" s="14" t="str">
        <f t="shared" si="237"/>
        <v>IFTTT</v>
      </c>
      <c r="L1322" s="13">
        <v>18</v>
      </c>
      <c r="M1322" s="13">
        <v>47</v>
      </c>
      <c r="N1322" s="13">
        <v>0</v>
      </c>
      <c r="O1322" s="15"/>
      <c r="P1322" s="6">
        <v>42761.240034722221</v>
      </c>
      <c r="Q1322" s="17" t="s">
        <v>660</v>
      </c>
      <c r="R1322" s="16" t="s">
        <v>661</v>
      </c>
      <c r="S1322" s="12"/>
      <c r="T1322" s="12"/>
      <c r="U1322" s="10" t="str">
        <f>HYPERLINK("https://pbs.twimg.com/profile_images/824614694078013444/fkDV_Y0Z.jpg","View")</f>
        <v>View</v>
      </c>
    </row>
    <row r="1323" spans="1:21" ht="30.6">
      <c r="A1323" s="6">
        <v>43424.133287037039</v>
      </c>
      <c r="B1323" s="7" t="str">
        <f>HYPERLINK("https://twitter.com/Wiklerman15","@Wiklerman15")</f>
        <v>@Wiklerman15</v>
      </c>
      <c r="C1323" s="8" t="s">
        <v>4773</v>
      </c>
      <c r="D1323" s="9" t="s">
        <v>4774</v>
      </c>
      <c r="E1323" s="10" t="str">
        <f>HYPERLINK("https://twitter.com/Wiklerman15/status/1064838750583312384","1064838750583312384")</f>
        <v>1064838750583312384</v>
      </c>
      <c r="F1323" s="11" t="s">
        <v>3263</v>
      </c>
      <c r="G1323" s="12"/>
      <c r="H1323" s="12"/>
      <c r="I1323" s="13">
        <v>0</v>
      </c>
      <c r="J1323" s="13">
        <v>0</v>
      </c>
      <c r="K1323" s="14" t="str">
        <f>HYPERLINK("http://twitter.com/download/iphone","Twitter for iPhone")</f>
        <v>Twitter for iPhone</v>
      </c>
      <c r="L1323" s="13">
        <v>956</v>
      </c>
      <c r="M1323" s="13">
        <v>2376</v>
      </c>
      <c r="N1323" s="13">
        <v>30</v>
      </c>
      <c r="O1323" s="15"/>
      <c r="P1323" s="6">
        <v>40302.328900462962</v>
      </c>
      <c r="Q1323" s="17" t="s">
        <v>143</v>
      </c>
      <c r="R1323" s="16" t="s">
        <v>4775</v>
      </c>
      <c r="S1323" s="12"/>
      <c r="T1323" s="12"/>
      <c r="U1323" s="10" t="str">
        <f>HYPERLINK("https://pbs.twimg.com/profile_images/950030900506628096/dvm1I0r7.jpg","View")</f>
        <v>View</v>
      </c>
    </row>
    <row r="1324" spans="1:21" ht="40.799999999999997">
      <c r="A1324" s="6">
        <v>43424.132650462961</v>
      </c>
      <c r="B1324" s="7" t="str">
        <f>HYPERLINK("https://twitter.com/elmundoes","@elmundoes")</f>
        <v>@elmundoes</v>
      </c>
      <c r="C1324" s="8" t="s">
        <v>4776</v>
      </c>
      <c r="D1324" s="9" t="s">
        <v>4777</v>
      </c>
      <c r="E1324" s="10" t="str">
        <f>HYPERLINK("https://twitter.com/elmundoes/status/1064838520718663680","1064838520718663680")</f>
        <v>1064838520718663680</v>
      </c>
      <c r="F1324" s="11" t="s">
        <v>4778</v>
      </c>
      <c r="G1324" s="12"/>
      <c r="H1324" s="12"/>
      <c r="I1324" s="13">
        <v>13</v>
      </c>
      <c r="J1324" s="13">
        <v>8</v>
      </c>
      <c r="K1324" s="14" t="str">
        <f>HYPERLINK("http://www.socialflow.com","SocialFlow")</f>
        <v>SocialFlow</v>
      </c>
      <c r="L1324" s="13">
        <v>3190370</v>
      </c>
      <c r="M1324" s="13">
        <v>1355</v>
      </c>
      <c r="N1324" s="13">
        <v>29571</v>
      </c>
      <c r="O1324" s="19" t="s">
        <v>74</v>
      </c>
      <c r="P1324" s="6">
        <v>39556.478761574072</v>
      </c>
      <c r="Q1324" s="17" t="s">
        <v>29</v>
      </c>
      <c r="R1324" s="16" t="s">
        <v>4779</v>
      </c>
      <c r="S1324" s="11" t="s">
        <v>4780</v>
      </c>
      <c r="T1324" s="12"/>
      <c r="U1324" s="10" t="str">
        <f>HYPERLINK("https://pbs.twimg.com/profile_images/959947259780747265/ez18J78k.jpg","View")</f>
        <v>View</v>
      </c>
    </row>
    <row r="1325" spans="1:21" ht="40.799999999999997">
      <c r="A1325" s="6">
        <v>43424.132569444446</v>
      </c>
      <c r="B1325" s="7" t="str">
        <f>HYPERLINK("https://twitter.com/ElMundoEspana","@ElMundoEspana")</f>
        <v>@ElMundoEspana</v>
      </c>
      <c r="C1325" s="8" t="s">
        <v>2381</v>
      </c>
      <c r="D1325" s="9" t="s">
        <v>3630</v>
      </c>
      <c r="E1325" s="10" t="str">
        <f>HYPERLINK("https://twitter.com/ElMundoEspana/status/1064838489395654657","1064838489395654657")</f>
        <v>1064838489395654657</v>
      </c>
      <c r="F1325" s="11" t="s">
        <v>3263</v>
      </c>
      <c r="G1325" s="12"/>
      <c r="H1325" s="12"/>
      <c r="I1325" s="13">
        <v>2</v>
      </c>
      <c r="J1325" s="13">
        <v>0</v>
      </c>
      <c r="K1325" s="14" t="str">
        <f>HYPERLINK("http://twitter.com","Twitter Web Client")</f>
        <v>Twitter Web Client</v>
      </c>
      <c r="L1325" s="13">
        <v>17967</v>
      </c>
      <c r="M1325" s="13">
        <v>654</v>
      </c>
      <c r="N1325" s="13">
        <v>350</v>
      </c>
      <c r="O1325" s="19" t="s">
        <v>74</v>
      </c>
      <c r="P1325" s="6">
        <v>42089.082106481481</v>
      </c>
      <c r="Q1325" s="12"/>
      <c r="R1325" s="16" t="s">
        <v>2383</v>
      </c>
      <c r="S1325" s="11" t="s">
        <v>2384</v>
      </c>
      <c r="T1325" s="12"/>
      <c r="U1325" s="10" t="str">
        <f>HYPERLINK("https://pbs.twimg.com/profile_images/780431237555032064/H6v83dkC.jpg","View")</f>
        <v>View</v>
      </c>
    </row>
    <row r="1326" spans="1:21" ht="51">
      <c r="A1326" s="6">
        <v>43424.131979166668</v>
      </c>
      <c r="B1326" s="7" t="str">
        <f>HYPERLINK("https://twitter.com/Paradonovalia","@Paradonovalia")</f>
        <v>@Paradonovalia</v>
      </c>
      <c r="C1326" s="8" t="s">
        <v>2876</v>
      </c>
      <c r="D1326" s="9" t="s">
        <v>4781</v>
      </c>
      <c r="E1326" s="10" t="str">
        <f>HYPERLINK("https://twitter.com/Paradonovalia/status/1064838275297357824","1064838275297357824")</f>
        <v>1064838275297357824</v>
      </c>
      <c r="F1326" s="12"/>
      <c r="G1326" s="12"/>
      <c r="H1326" s="12"/>
      <c r="I1326" s="13">
        <v>0</v>
      </c>
      <c r="J1326" s="13">
        <v>2</v>
      </c>
      <c r="K1326" s="14" t="str">
        <f>HYPERLINK("http://twitter.com/download/android","Twitter for Android")</f>
        <v>Twitter for Android</v>
      </c>
      <c r="L1326" s="13">
        <v>5743</v>
      </c>
      <c r="M1326" s="13">
        <v>520</v>
      </c>
      <c r="N1326" s="13">
        <v>98</v>
      </c>
      <c r="O1326" s="15"/>
      <c r="P1326" s="6">
        <v>40718.869930555556</v>
      </c>
      <c r="Q1326" s="17" t="s">
        <v>2878</v>
      </c>
      <c r="R1326" s="16" t="s">
        <v>2879</v>
      </c>
      <c r="S1326" s="11" t="s">
        <v>2880</v>
      </c>
      <c r="T1326" s="12"/>
      <c r="U1326" s="10" t="str">
        <f>HYPERLINK("https://pbs.twimg.com/profile_images/949718974652133377/iA7eYSZa.jpg","View")</f>
        <v>View</v>
      </c>
    </row>
    <row r="1327" spans="1:21" ht="51">
      <c r="A1327" s="6">
        <v>43424.128275462965</v>
      </c>
      <c r="B1327" s="7" t="str">
        <f>HYPERLINK("https://twitter.com/josemalluis","@josemalluis")</f>
        <v>@josemalluis</v>
      </c>
      <c r="C1327" s="8" t="s">
        <v>4782</v>
      </c>
      <c r="D1327" s="9" t="s">
        <v>4783</v>
      </c>
      <c r="E1327" s="10" t="str">
        <f>HYPERLINK("https://twitter.com/josemalluis/status/1064836935494107137","1064836935494107137")</f>
        <v>1064836935494107137</v>
      </c>
      <c r="F1327" s="12"/>
      <c r="G1327" s="11" t="s">
        <v>4784</v>
      </c>
      <c r="H1327" s="12"/>
      <c r="I1327" s="13">
        <v>0</v>
      </c>
      <c r="J1327" s="13">
        <v>1</v>
      </c>
      <c r="K1327" s="14" t="str">
        <f>HYPERLINK("http://twitter.com","Twitter Web Client")</f>
        <v>Twitter Web Client</v>
      </c>
      <c r="L1327" s="13">
        <v>267</v>
      </c>
      <c r="M1327" s="13">
        <v>481</v>
      </c>
      <c r="N1327" s="13">
        <v>5</v>
      </c>
      <c r="O1327" s="15"/>
      <c r="P1327" s="6">
        <v>41620.082812499997</v>
      </c>
      <c r="Q1327" s="12"/>
      <c r="R1327" s="16" t="s">
        <v>4785</v>
      </c>
      <c r="S1327" s="12"/>
      <c r="T1327" s="12"/>
      <c r="U1327" s="10" t="str">
        <f>HYPERLINK("https://pbs.twimg.com/profile_images/378800000861979390/-dNMXMY6.jpeg","View")</f>
        <v>View</v>
      </c>
    </row>
    <row r="1328" spans="1:21" ht="20.399999999999999">
      <c r="A1328" s="6">
        <v>43424.127511574072</v>
      </c>
      <c r="B1328" s="7" t="str">
        <f>HYPERLINK("https://twitter.com/victorjavier","@victorjavier")</f>
        <v>@victorjavier</v>
      </c>
      <c r="C1328" s="8" t="s">
        <v>4786</v>
      </c>
      <c r="D1328" s="9" t="s">
        <v>4787</v>
      </c>
      <c r="E1328" s="10" t="str">
        <f>HYPERLINK("https://twitter.com/victorjavier/status/1064836657382334465","1064836657382334465")</f>
        <v>1064836657382334465</v>
      </c>
      <c r="F1328" s="12"/>
      <c r="G1328" s="11" t="s">
        <v>4788</v>
      </c>
      <c r="H1328" s="12"/>
      <c r="I1328" s="13">
        <v>0</v>
      </c>
      <c r="J1328" s="13">
        <v>0</v>
      </c>
      <c r="K1328" s="14" t="str">
        <f>HYPERLINK("http://tapbots.com/tweetbot","Tweetbot for iΟS")</f>
        <v>Tweetbot for iΟS</v>
      </c>
      <c r="L1328" s="13">
        <v>1593</v>
      </c>
      <c r="M1328" s="13">
        <v>982</v>
      </c>
      <c r="N1328" s="13">
        <v>48</v>
      </c>
      <c r="O1328" s="15"/>
      <c r="P1328" s="6">
        <v>39906.558530092589</v>
      </c>
      <c r="Q1328" s="17" t="s">
        <v>4789</v>
      </c>
      <c r="R1328" s="28" t="s">
        <v>4790</v>
      </c>
      <c r="S1328" s="11" t="s">
        <v>4791</v>
      </c>
      <c r="T1328" s="12"/>
      <c r="U1328" s="10" t="str">
        <f>HYPERLINK("https://pbs.twimg.com/profile_images/1061916488016293888/02vIFkzS.jpg","View")</f>
        <v>View</v>
      </c>
    </row>
    <row r="1329" spans="1:21" ht="30.6">
      <c r="A1329" s="6">
        <v>43424.126608796301</v>
      </c>
      <c r="B1329" s="7" t="str">
        <f>HYPERLINK("https://twitter.com/AHMingorance","@AHMingorance")</f>
        <v>@AHMingorance</v>
      </c>
      <c r="C1329" s="8" t="s">
        <v>4792</v>
      </c>
      <c r="D1329" s="9" t="s">
        <v>4793</v>
      </c>
      <c r="E1329" s="10" t="str">
        <f>HYPERLINK("https://twitter.com/AHMingorance/status/1064836330633551872","1064836330633551872")</f>
        <v>1064836330633551872</v>
      </c>
      <c r="F1329" s="12"/>
      <c r="G1329" s="12"/>
      <c r="H1329" s="12"/>
      <c r="I1329" s="13">
        <v>1</v>
      </c>
      <c r="J1329" s="13">
        <v>0</v>
      </c>
      <c r="K1329" s="14" t="str">
        <f>HYPERLINK("http://twitter.com/download/android","Twitter for Android")</f>
        <v>Twitter for Android</v>
      </c>
      <c r="L1329" s="13">
        <v>598</v>
      </c>
      <c r="M1329" s="13">
        <v>1034</v>
      </c>
      <c r="N1329" s="13">
        <v>21</v>
      </c>
      <c r="O1329" s="15"/>
      <c r="P1329" s="6">
        <v>40738.54247685185</v>
      </c>
      <c r="Q1329" s="12"/>
      <c r="R1329" s="16" t="s">
        <v>4794</v>
      </c>
      <c r="S1329" s="12"/>
      <c r="T1329" s="12"/>
      <c r="U1329" s="10" t="str">
        <f>HYPERLINK("https://pbs.twimg.com/profile_images/1054335394026872832/tadZaS8n.jpg","View")</f>
        <v>View</v>
      </c>
    </row>
    <row r="1330" spans="1:21" ht="51">
      <c r="A1330" s="6">
        <v>43424.122974537036</v>
      </c>
      <c r="B1330" s="7" t="str">
        <f>HYPERLINK("https://twitter.com/SoyDonNadie","@SoyDonNadie")</f>
        <v>@SoyDonNadie</v>
      </c>
      <c r="C1330" s="8" t="s">
        <v>4795</v>
      </c>
      <c r="D1330" s="9" t="s">
        <v>4796</v>
      </c>
      <c r="E1330" s="10" t="str">
        <f>HYPERLINK("https://twitter.com/SoyDonNadie/status/1064835013638856704","1064835013638856704")</f>
        <v>1064835013638856704</v>
      </c>
      <c r="F1330" s="11" t="s">
        <v>320</v>
      </c>
      <c r="G1330" s="12"/>
      <c r="H1330" s="12"/>
      <c r="I1330" s="13">
        <v>0</v>
      </c>
      <c r="J1330" s="13">
        <v>0</v>
      </c>
      <c r="K1330" s="14" t="str">
        <f>HYPERLINK("http://www.facebook.com/twitter","Facebook")</f>
        <v>Facebook</v>
      </c>
      <c r="L1330" s="13">
        <v>929</v>
      </c>
      <c r="M1330" s="13">
        <v>2255</v>
      </c>
      <c r="N1330" s="13">
        <v>14</v>
      </c>
      <c r="O1330" s="15"/>
      <c r="P1330" s="6">
        <v>40546.582303240742</v>
      </c>
      <c r="Q1330" s="17" t="s">
        <v>76</v>
      </c>
      <c r="R1330" s="16" t="s">
        <v>4797</v>
      </c>
      <c r="S1330" s="11" t="s">
        <v>4798</v>
      </c>
      <c r="T1330" s="12"/>
      <c r="U1330" s="10" t="str">
        <f>HYPERLINK("https://pbs.twimg.com/profile_images/1900771571/Don_2520Nadie.JPG","View")</f>
        <v>View</v>
      </c>
    </row>
    <row r="1331" spans="1:21" ht="20.399999999999999">
      <c r="A1331" s="6">
        <v>43424.122141203705</v>
      </c>
      <c r="B1331" s="7" t="str">
        <f>HYPERLINK("https://twitter.com/jmvergesprat","@jmvergesprat")</f>
        <v>@jmvergesprat</v>
      </c>
      <c r="C1331" s="8" t="s">
        <v>4799</v>
      </c>
      <c r="D1331" s="9" t="s">
        <v>4800</v>
      </c>
      <c r="E1331" s="10" t="str">
        <f>HYPERLINK("https://twitter.com/jmvergesprat/status/1064834709774102528","1064834709774102528")</f>
        <v>1064834709774102528</v>
      </c>
      <c r="F1331" s="11" t="s">
        <v>320</v>
      </c>
      <c r="G1331" s="12"/>
      <c r="H1331" s="12"/>
      <c r="I1331" s="13">
        <v>1</v>
      </c>
      <c r="J1331" s="13">
        <v>0</v>
      </c>
      <c r="K1331" s="14" t="str">
        <f t="shared" ref="K1331:K1332" si="238">HYPERLINK("http://twitter.com","Twitter Web Client")</f>
        <v>Twitter Web Client</v>
      </c>
      <c r="L1331" s="13">
        <v>2458</v>
      </c>
      <c r="M1331" s="13">
        <v>1472</v>
      </c>
      <c r="N1331" s="13">
        <v>82</v>
      </c>
      <c r="O1331" s="15"/>
      <c r="P1331" s="6">
        <v>40992.240312499998</v>
      </c>
      <c r="Q1331" s="17" t="s">
        <v>4801</v>
      </c>
      <c r="R1331" s="16" t="s">
        <v>4802</v>
      </c>
      <c r="S1331" s="11" t="s">
        <v>4803</v>
      </c>
      <c r="T1331" s="12"/>
      <c r="U1331" s="10" t="str">
        <f>HYPERLINK("https://pbs.twimg.com/profile_images/933788654098616321/_D2XJ63M.jpg","View")</f>
        <v>View</v>
      </c>
    </row>
    <row r="1332" spans="1:21" ht="30.6">
      <c r="A1332" s="6">
        <v>43424.121261574073</v>
      </c>
      <c r="B1332" s="7" t="str">
        <f>HYPERLINK("https://twitter.com/flbarriosr","@flbarriosr")</f>
        <v>@flbarriosr</v>
      </c>
      <c r="C1332" s="8" t="s">
        <v>4804</v>
      </c>
      <c r="D1332" s="9" t="s">
        <v>4805</v>
      </c>
      <c r="E1332" s="10" t="str">
        <f>HYPERLINK("https://twitter.com/flbarriosr/status/1064834392240078848","1064834392240078848")</f>
        <v>1064834392240078848</v>
      </c>
      <c r="F1332" s="12"/>
      <c r="G1332" s="12"/>
      <c r="H1332" s="12"/>
      <c r="I1332" s="13">
        <v>1</v>
      </c>
      <c r="J1332" s="13">
        <v>1</v>
      </c>
      <c r="K1332" s="14" t="str">
        <f t="shared" si="238"/>
        <v>Twitter Web Client</v>
      </c>
      <c r="L1332" s="13">
        <v>1132</v>
      </c>
      <c r="M1332" s="13">
        <v>1099</v>
      </c>
      <c r="N1332" s="13">
        <v>6</v>
      </c>
      <c r="O1332" s="15"/>
      <c r="P1332" s="6">
        <v>40878.081504629634</v>
      </c>
      <c r="Q1332" s="17" t="s">
        <v>4806</v>
      </c>
      <c r="R1332" s="16" t="s">
        <v>4807</v>
      </c>
      <c r="S1332" s="12"/>
      <c r="T1332" s="12"/>
      <c r="U1332" s="10" t="str">
        <f>HYPERLINK("https://pbs.twimg.com/profile_images/475698122539028481/zGbDt3WB.jpeg","View")</f>
        <v>View</v>
      </c>
    </row>
    <row r="1333" spans="1:21" ht="61.2">
      <c r="A1333" s="6">
        <v>43424.114675925928</v>
      </c>
      <c r="B1333" s="7" t="str">
        <f>HYPERLINK("https://twitter.com/mom0_o","@mom0_o")</f>
        <v>@mom0_o</v>
      </c>
      <c r="C1333" s="8" t="s">
        <v>4062</v>
      </c>
      <c r="D1333" s="9" t="s">
        <v>4808</v>
      </c>
      <c r="E1333" s="10" t="str">
        <f>HYPERLINK("https://twitter.com/mom0_o/status/1064832006746456064","1064832006746456064")</f>
        <v>1064832006746456064</v>
      </c>
      <c r="F1333" s="17" t="s">
        <v>4809</v>
      </c>
      <c r="G1333" s="12"/>
      <c r="H1333" s="12"/>
      <c r="I1333" s="13">
        <v>0</v>
      </c>
      <c r="J1333" s="13">
        <v>0</v>
      </c>
      <c r="K1333" s="14" t="str">
        <f>HYPERLINK("https://about.twitter.com/products/tweetdeck","TweetDeck")</f>
        <v>TweetDeck</v>
      </c>
      <c r="L1333" s="13">
        <v>367</v>
      </c>
      <c r="M1333" s="13">
        <v>1167</v>
      </c>
      <c r="N1333" s="13">
        <v>17</v>
      </c>
      <c r="O1333" s="15"/>
      <c r="P1333" s="6">
        <v>40500.546736111108</v>
      </c>
      <c r="Q1333" s="17" t="s">
        <v>4810</v>
      </c>
      <c r="R1333" s="18"/>
      <c r="S1333" s="12"/>
      <c r="T1333" s="12"/>
      <c r="U1333" s="10" t="str">
        <f>HYPERLINK("https://pbs.twimg.com/profile_images/1005218043465695233/Wb0D1D1S.jpg","View")</f>
        <v>View</v>
      </c>
    </row>
    <row r="1334" spans="1:21" ht="40.799999999999997">
      <c r="A1334" s="6">
        <v>43424.11414351852</v>
      </c>
      <c r="B1334" s="7" t="str">
        <f>HYPERLINK("https://twitter.com/KORTAZAR","@KORTAZAR")</f>
        <v>@KORTAZAR</v>
      </c>
      <c r="C1334" s="8" t="s">
        <v>4811</v>
      </c>
      <c r="D1334" s="9" t="s">
        <v>4812</v>
      </c>
      <c r="E1334" s="10" t="str">
        <f>HYPERLINK("https://twitter.com/KORTAZAR/status/1064831812822867968","1064831812822867968")</f>
        <v>1064831812822867968</v>
      </c>
      <c r="F1334" s="11" t="s">
        <v>4813</v>
      </c>
      <c r="G1334" s="12"/>
      <c r="H1334" s="12"/>
      <c r="I1334" s="13">
        <v>2</v>
      </c>
      <c r="J1334" s="13">
        <v>0</v>
      </c>
      <c r="K1334" s="14" t="str">
        <f>HYPERLINK("http://twitter.com/download/android","Twitter for Android")</f>
        <v>Twitter for Android</v>
      </c>
      <c r="L1334" s="13">
        <v>5658</v>
      </c>
      <c r="M1334" s="13">
        <v>6216</v>
      </c>
      <c r="N1334" s="13">
        <v>28</v>
      </c>
      <c r="O1334" s="15"/>
      <c r="P1334" s="6">
        <v>39972.469710648147</v>
      </c>
      <c r="Q1334" s="17" t="s">
        <v>4814</v>
      </c>
      <c r="R1334" s="16" t="s">
        <v>4815</v>
      </c>
      <c r="S1334" s="12"/>
      <c r="T1334" s="12"/>
      <c r="U1334" s="10" t="str">
        <f>HYPERLINK("https://pbs.twimg.com/profile_images/1138107195/CORTAZAR.jpg","View")</f>
        <v>View</v>
      </c>
    </row>
    <row r="1335" spans="1:21" ht="20.399999999999999">
      <c r="A1335" s="6">
        <v>43424.113240740742</v>
      </c>
      <c r="B1335" s="7" t="str">
        <f>HYPERLINK("https://twitter.com/loxemaes","@loxemaes")</f>
        <v>@loxemaes</v>
      </c>
      <c r="C1335" s="8" t="s">
        <v>4816</v>
      </c>
      <c r="D1335" s="9" t="s">
        <v>4817</v>
      </c>
      <c r="E1335" s="10" t="str">
        <f>HYPERLINK("https://twitter.com/loxemaes/status/1064831487365836802","1064831487365836802")</f>
        <v>1064831487365836802</v>
      </c>
      <c r="F1335" s="11" t="s">
        <v>3031</v>
      </c>
      <c r="G1335" s="12"/>
      <c r="H1335" s="12"/>
      <c r="I1335" s="13">
        <v>0</v>
      </c>
      <c r="J1335" s="13">
        <v>0</v>
      </c>
      <c r="K1335" s="14" t="str">
        <f>HYPERLINK("http://www.facebook.com/twitter","Facebook")</f>
        <v>Facebook</v>
      </c>
      <c r="L1335" s="13">
        <v>68</v>
      </c>
      <c r="M1335" s="13">
        <v>5</v>
      </c>
      <c r="N1335" s="13">
        <v>5</v>
      </c>
      <c r="O1335" s="15"/>
      <c r="P1335" s="6">
        <v>40357.388148148151</v>
      </c>
      <c r="Q1335" s="17" t="s">
        <v>4818</v>
      </c>
      <c r="R1335" s="16" t="s">
        <v>4819</v>
      </c>
      <c r="S1335" s="11" t="s">
        <v>4820</v>
      </c>
      <c r="T1335" s="12"/>
      <c r="U1335" s="10" t="str">
        <f>HYPERLINK("https://pbs.twimg.com/profile_images/1005025367600574464/C21sDnqb.jpg","View")</f>
        <v>View</v>
      </c>
    </row>
    <row r="1336" spans="1:21" ht="51">
      <c r="A1336" s="6">
        <v>43424.104467592595</v>
      </c>
      <c r="B1336" s="7" t="str">
        <f>HYPERLINK("https://twitter.com/Carrington_BIO","@Carrington_BIO")</f>
        <v>@Carrington_BIO</v>
      </c>
      <c r="C1336" s="8" t="s">
        <v>4821</v>
      </c>
      <c r="D1336" s="9" t="s">
        <v>4822</v>
      </c>
      <c r="E1336" s="10" t="str">
        <f>HYPERLINK("https://twitter.com/Carrington_BIO/status/1064828307647209472","1064828307647209472")</f>
        <v>1064828307647209472</v>
      </c>
      <c r="F1336" s="12"/>
      <c r="G1336" s="12"/>
      <c r="H1336" s="12"/>
      <c r="I1336" s="13">
        <v>1</v>
      </c>
      <c r="J1336" s="13">
        <v>3</v>
      </c>
      <c r="K1336" s="14" t="str">
        <f t="shared" ref="K1336:K1337" si="239">HYPERLINK("https://mobile.twitter.com","Twitter Lite")</f>
        <v>Twitter Lite</v>
      </c>
      <c r="L1336" s="13">
        <v>280</v>
      </c>
      <c r="M1336" s="13">
        <v>142</v>
      </c>
      <c r="N1336" s="13">
        <v>0</v>
      </c>
      <c r="O1336" s="15"/>
      <c r="P1336" s="6">
        <v>40768.04210648148</v>
      </c>
      <c r="Q1336" s="17" t="s">
        <v>4823</v>
      </c>
      <c r="R1336" s="16" t="s">
        <v>4824</v>
      </c>
      <c r="S1336" s="12"/>
      <c r="T1336" s="12"/>
      <c r="U1336" s="10" t="str">
        <f>HYPERLINK("https://pbs.twimg.com/profile_images/1034489612964642816/afYYOeW4.jpg","View")</f>
        <v>View</v>
      </c>
    </row>
    <row r="1337" spans="1:21" ht="20.399999999999999">
      <c r="A1337" s="6">
        <v>43424.097881944443</v>
      </c>
      <c r="B1337" s="7" t="str">
        <f>HYPERLINK("https://twitter.com/elguille1008","@elguille1008")</f>
        <v>@elguille1008</v>
      </c>
      <c r="C1337" s="8" t="s">
        <v>4825</v>
      </c>
      <c r="D1337" s="9" t="s">
        <v>4826</v>
      </c>
      <c r="E1337" s="10" t="str">
        <f>HYPERLINK("https://twitter.com/elguille1008/status/1064825918877773824","1064825918877773824")</f>
        <v>1064825918877773824</v>
      </c>
      <c r="F1337" s="12"/>
      <c r="G1337" s="12"/>
      <c r="H1337" s="12"/>
      <c r="I1337" s="13">
        <v>0</v>
      </c>
      <c r="J1337" s="13">
        <v>0</v>
      </c>
      <c r="K1337" s="14" t="str">
        <f t="shared" si="239"/>
        <v>Twitter Lite</v>
      </c>
      <c r="L1337" s="13">
        <v>22</v>
      </c>
      <c r="M1337" s="13">
        <v>43</v>
      </c>
      <c r="N1337" s="13">
        <v>1</v>
      </c>
      <c r="O1337" s="15"/>
      <c r="P1337" s="6">
        <v>42286.569328703699</v>
      </c>
      <c r="Q1337" s="12"/>
      <c r="R1337" s="18"/>
      <c r="S1337" s="12"/>
      <c r="T1337" s="12"/>
      <c r="U1337" s="10" t="str">
        <f>HYPERLINK("https://pbs.twimg.com/profile_images/652585544438956033/Nt8o__H1.jpg","View")</f>
        <v>View</v>
      </c>
    </row>
    <row r="1338" spans="1:21" ht="51">
      <c r="A1338" s="6">
        <v>43424.097731481481</v>
      </c>
      <c r="B1338" s="7" t="str">
        <f>HYPERLINK("https://twitter.com/CdV_Galicia","@CdV_Galicia")</f>
        <v>@CdV_Galicia</v>
      </c>
      <c r="C1338" s="8" t="s">
        <v>4827</v>
      </c>
      <c r="D1338" s="9" t="s">
        <v>4828</v>
      </c>
      <c r="E1338" s="10" t="str">
        <f>HYPERLINK("https://twitter.com/CdV_Galicia/status/1064825867300425729","1064825867300425729")</f>
        <v>1064825867300425729</v>
      </c>
      <c r="F1338" s="17" t="s">
        <v>4829</v>
      </c>
      <c r="G1338" s="11" t="s">
        <v>4830</v>
      </c>
      <c r="H1338" s="12"/>
      <c r="I1338" s="13">
        <v>0</v>
      </c>
      <c r="J1338" s="13">
        <v>1</v>
      </c>
      <c r="K1338" s="14" t="str">
        <f>HYPERLINK("http://twitter.com/download/android","Twitter for Android")</f>
        <v>Twitter for Android</v>
      </c>
      <c r="L1338" s="13">
        <v>1130</v>
      </c>
      <c r="M1338" s="13">
        <v>274</v>
      </c>
      <c r="N1338" s="13">
        <v>26</v>
      </c>
      <c r="O1338" s="15"/>
      <c r="P1338" s="6">
        <v>42368.1247337963</v>
      </c>
      <c r="Q1338" s="12"/>
      <c r="R1338" s="16" t="s">
        <v>4831</v>
      </c>
      <c r="S1338" s="11" t="s">
        <v>3530</v>
      </c>
      <c r="T1338" s="12"/>
      <c r="U1338" s="10" t="str">
        <f>HYPERLINK("https://pbs.twimg.com/profile_images/732333524167069696/L9seJje_.jpg","View")</f>
        <v>View</v>
      </c>
    </row>
    <row r="1339" spans="1:21" ht="30.6">
      <c r="A1339" s="6">
        <v>43424.095462962963</v>
      </c>
      <c r="B1339" s="7" t="str">
        <f>HYPERLINK("https://twitter.com/pradoalberdi","@pradoalberdi")</f>
        <v>@pradoalberdi</v>
      </c>
      <c r="C1339" s="8" t="s">
        <v>817</v>
      </c>
      <c r="D1339" s="9" t="s">
        <v>4832</v>
      </c>
      <c r="E1339" s="10" t="str">
        <f>HYPERLINK("https://twitter.com/pradoalberdi/status/1064825042054332416","1064825042054332416")</f>
        <v>1064825042054332416</v>
      </c>
      <c r="F1339" s="11" t="s">
        <v>4833</v>
      </c>
      <c r="G1339" s="12"/>
      <c r="H1339" s="12"/>
      <c r="I1339" s="13">
        <v>0</v>
      </c>
      <c r="J1339" s="13">
        <v>0</v>
      </c>
      <c r="K1339" s="14" t="str">
        <f t="shared" ref="K1339:K1340" si="240">HYPERLINK("http://twitter.com","Twitter Web Client")</f>
        <v>Twitter Web Client</v>
      </c>
      <c r="L1339" s="13">
        <v>2749</v>
      </c>
      <c r="M1339" s="13">
        <v>2753</v>
      </c>
      <c r="N1339" s="13">
        <v>76</v>
      </c>
      <c r="O1339" s="15"/>
      <c r="P1339" s="6">
        <v>39912.622858796298</v>
      </c>
      <c r="Q1339" s="17" t="s">
        <v>818</v>
      </c>
      <c r="R1339" s="16" t="s">
        <v>819</v>
      </c>
      <c r="S1339" s="11" t="s">
        <v>820</v>
      </c>
      <c r="T1339" s="12"/>
      <c r="U1339" s="10" t="str">
        <f>HYPERLINK("https://pbs.twimg.com/profile_images/1471182899/ALBERDI_PERFIL.jpg","View")</f>
        <v>View</v>
      </c>
    </row>
    <row r="1340" spans="1:21" ht="81.599999999999994">
      <c r="A1340" s="6">
        <v>43424.090914351851</v>
      </c>
      <c r="B1340" s="7" t="str">
        <f>HYPERLINK("https://twitter.com/abuelocorajexad","@abuelocorajexad")</f>
        <v>@abuelocorajexad</v>
      </c>
      <c r="C1340" s="8" t="s">
        <v>4834</v>
      </c>
      <c r="D1340" s="9" t="s">
        <v>4835</v>
      </c>
      <c r="E1340" s="10" t="str">
        <f>HYPERLINK("https://twitter.com/abuelocorajexad/status/1064823396435922944","1064823396435922944")</f>
        <v>1064823396435922944</v>
      </c>
      <c r="F1340" s="12"/>
      <c r="G1340" s="12"/>
      <c r="H1340" s="12"/>
      <c r="I1340" s="13">
        <v>0</v>
      </c>
      <c r="J1340" s="13">
        <v>0</v>
      </c>
      <c r="K1340" s="14" t="str">
        <f t="shared" si="240"/>
        <v>Twitter Web Client</v>
      </c>
      <c r="L1340" s="13">
        <v>1030</v>
      </c>
      <c r="M1340" s="13">
        <v>877</v>
      </c>
      <c r="N1340" s="13">
        <v>1</v>
      </c>
      <c r="O1340" s="15"/>
      <c r="P1340" s="6">
        <v>42829.099699074075</v>
      </c>
      <c r="Q1340" s="12"/>
      <c r="R1340" s="18"/>
      <c r="S1340" s="12"/>
      <c r="T1340" s="12"/>
      <c r="U1340" s="10" t="str">
        <f>HYPERLINK("https://pbs.twimg.com/profile_images/849193986698903552/tuuCfEhR.jpg","View")</f>
        <v>View</v>
      </c>
    </row>
    <row r="1341" spans="1:21" ht="51">
      <c r="A1341" s="6">
        <v>43424.090671296297</v>
      </c>
      <c r="B1341" s="7" t="str">
        <f>HYPERLINK("https://twitter.com/lexlozanos","@lexlozanos")</f>
        <v>@lexlozanos</v>
      </c>
      <c r="C1341" s="8" t="s">
        <v>4836</v>
      </c>
      <c r="D1341" s="9" t="s">
        <v>4837</v>
      </c>
      <c r="E1341" s="10" t="str">
        <f>HYPERLINK("https://twitter.com/lexlozanos/status/1064823309018238976","1064823309018238976")</f>
        <v>1064823309018238976</v>
      </c>
      <c r="F1341" s="11" t="s">
        <v>4838</v>
      </c>
      <c r="G1341" s="12"/>
      <c r="H1341" s="12"/>
      <c r="I1341" s="13">
        <v>0</v>
      </c>
      <c r="J1341" s="13">
        <v>0</v>
      </c>
      <c r="K1341" s="14" t="str">
        <f>HYPERLINK("http://twitter.com/download/android","Twitter for Android")</f>
        <v>Twitter for Android</v>
      </c>
      <c r="L1341" s="13">
        <v>93</v>
      </c>
      <c r="M1341" s="13">
        <v>100</v>
      </c>
      <c r="N1341" s="13">
        <v>2</v>
      </c>
      <c r="O1341" s="15"/>
      <c r="P1341" s="6">
        <v>42079.420555555553</v>
      </c>
      <c r="Q1341" s="17" t="s">
        <v>4839</v>
      </c>
      <c r="R1341" s="16" t="s">
        <v>4840</v>
      </c>
      <c r="S1341" s="11" t="s">
        <v>4841</v>
      </c>
      <c r="T1341" s="12"/>
      <c r="U1341" s="10" t="str">
        <f>HYPERLINK("https://pbs.twimg.com/profile_images/1002577885901836288/rV4fQC66.jpg","View")</f>
        <v>View</v>
      </c>
    </row>
    <row r="1342" spans="1:21" ht="30.6">
      <c r="A1342" s="6">
        <v>43424.086423611108</v>
      </c>
      <c r="B1342" s="7" t="str">
        <f>HYPERLINK("https://twitter.com/GranCanariaTv","@GranCanariaTv")</f>
        <v>@GranCanariaTv</v>
      </c>
      <c r="C1342" s="8" t="s">
        <v>3536</v>
      </c>
      <c r="D1342" s="9" t="s">
        <v>4842</v>
      </c>
      <c r="E1342" s="10" t="str">
        <f>HYPERLINK("https://twitter.com/GranCanariaTv/status/1064821767863222272","1064821767863222272")</f>
        <v>1064821767863222272</v>
      </c>
      <c r="F1342" s="11" t="s">
        <v>4843</v>
      </c>
      <c r="G1342" s="12"/>
      <c r="H1342" s="12"/>
      <c r="I1342" s="13">
        <v>0</v>
      </c>
      <c r="J1342" s="13">
        <v>0</v>
      </c>
      <c r="K1342" s="14" t="str">
        <f t="shared" ref="K1342:K1343" si="241">HYPERLINK("http://twitter.com","Twitter Web Client")</f>
        <v>Twitter Web Client</v>
      </c>
      <c r="L1342" s="13">
        <v>5000</v>
      </c>
      <c r="M1342" s="13">
        <v>3356</v>
      </c>
      <c r="N1342" s="13">
        <v>99</v>
      </c>
      <c r="O1342" s="15"/>
      <c r="P1342" s="6">
        <v>40504.614155092597</v>
      </c>
      <c r="Q1342" s="17" t="s">
        <v>2270</v>
      </c>
      <c r="R1342" s="16" t="s">
        <v>3538</v>
      </c>
      <c r="S1342" s="11" t="s">
        <v>3539</v>
      </c>
      <c r="T1342" s="12"/>
      <c r="U1342" s="10" t="str">
        <f>HYPERLINK("https://pbs.twimg.com/profile_images/728335785527758848/RP6AGTBc.jpg","View")</f>
        <v>View</v>
      </c>
    </row>
    <row r="1343" spans="1:21" ht="40.799999999999997">
      <c r="A1343" s="6">
        <v>43424.081493055557</v>
      </c>
      <c r="B1343" s="7" t="str">
        <f>HYPERLINK("https://twitter.com/MDOLORESSNCHEZ","@MDOLORESSNCHEZ")</f>
        <v>@MDOLORESSNCHEZ</v>
      </c>
      <c r="C1343" s="8" t="s">
        <v>570</v>
      </c>
      <c r="D1343" s="9" t="s">
        <v>4844</v>
      </c>
      <c r="E1343" s="10" t="str">
        <f>HYPERLINK("https://twitter.com/MDOLORESSNCHEZ/status/1064819981727277056","1064819981727277056")</f>
        <v>1064819981727277056</v>
      </c>
      <c r="F1343" s="11" t="s">
        <v>320</v>
      </c>
      <c r="G1343" s="12"/>
      <c r="H1343" s="12"/>
      <c r="I1343" s="13">
        <v>1</v>
      </c>
      <c r="J1343" s="13">
        <v>0</v>
      </c>
      <c r="K1343" s="14" t="str">
        <f t="shared" si="241"/>
        <v>Twitter Web Client</v>
      </c>
      <c r="L1343" s="13">
        <v>1004</v>
      </c>
      <c r="M1343" s="13">
        <v>704</v>
      </c>
      <c r="N1343" s="13">
        <v>29</v>
      </c>
      <c r="O1343" s="15"/>
      <c r="P1343" s="6">
        <v>41256.134479166663</v>
      </c>
      <c r="Q1343" s="12"/>
      <c r="R1343" s="18"/>
      <c r="S1343" s="12"/>
      <c r="T1343" s="12"/>
      <c r="U1343" s="10" t="str">
        <f>HYPERLINK("https://pbs.twimg.com/profile_images/859419904981647360/yLCVmofU.jpg","View")</f>
        <v>View</v>
      </c>
    </row>
    <row r="1344" spans="1:21" ht="20.399999999999999">
      <c r="A1344" s="6">
        <v>43424.080300925925</v>
      </c>
      <c r="B1344" s="7" t="str">
        <f t="shared" ref="B1344:B1345" si="242">HYPERLINK("https://twitter.com/fernanjofer","@fernanjofer")</f>
        <v>@fernanjofer</v>
      </c>
      <c r="C1344" s="8" t="s">
        <v>80</v>
      </c>
      <c r="D1344" s="9" t="s">
        <v>4845</v>
      </c>
      <c r="E1344" s="10" t="str">
        <f>HYPERLINK("https://twitter.com/fernanjofer/status/1064819547595833345","1064819547595833345")</f>
        <v>1064819547595833345</v>
      </c>
      <c r="F1344" s="11" t="s">
        <v>3484</v>
      </c>
      <c r="G1344" s="12"/>
      <c r="H1344" s="12"/>
      <c r="I1344" s="13">
        <v>0</v>
      </c>
      <c r="J1344" s="13">
        <v>0</v>
      </c>
      <c r="K1344" s="14" t="str">
        <f>HYPERLINK("http://www.facebook.com/twitter","Facebook")</f>
        <v>Facebook</v>
      </c>
      <c r="L1344" s="13">
        <v>1189</v>
      </c>
      <c r="M1344" s="13">
        <v>2198</v>
      </c>
      <c r="N1344" s="13">
        <v>8</v>
      </c>
      <c r="O1344" s="15"/>
      <c r="P1344" s="6">
        <v>40250.194872685184</v>
      </c>
      <c r="Q1344" s="17" t="s">
        <v>81</v>
      </c>
      <c r="R1344" s="16" t="s">
        <v>82</v>
      </c>
      <c r="S1344" s="11" t="s">
        <v>83</v>
      </c>
      <c r="T1344" s="12"/>
      <c r="U1344" s="10" t="str">
        <f t="shared" ref="U1344:U1345" si="243">HYPERLINK("https://pbs.twimg.com/profile_images/960232402940461056/XoIIk0xn.jpg","View")</f>
        <v>View</v>
      </c>
    </row>
    <row r="1345" spans="1:21" ht="20.399999999999999">
      <c r="A1345" s="6">
        <v>43424.080243055556</v>
      </c>
      <c r="B1345" s="7" t="str">
        <f t="shared" si="242"/>
        <v>@fernanjofer</v>
      </c>
      <c r="C1345" s="8" t="s">
        <v>80</v>
      </c>
      <c r="D1345" s="9" t="s">
        <v>3483</v>
      </c>
      <c r="E1345" s="10" t="str">
        <f>HYPERLINK("https://twitter.com/fernanjofer/status/1064819529686151168","1064819529686151168")</f>
        <v>1064819529686151168</v>
      </c>
      <c r="F1345" s="11" t="s">
        <v>3484</v>
      </c>
      <c r="G1345" s="12"/>
      <c r="H1345" s="12"/>
      <c r="I1345" s="13">
        <v>0</v>
      </c>
      <c r="J1345" s="13">
        <v>0</v>
      </c>
      <c r="K1345" s="14" t="str">
        <f t="shared" ref="K1345:K1346" si="244">HYPERLINK("http://twitter.com","Twitter Web Client")</f>
        <v>Twitter Web Client</v>
      </c>
      <c r="L1345" s="13">
        <v>1189</v>
      </c>
      <c r="M1345" s="13">
        <v>2198</v>
      </c>
      <c r="N1345" s="13">
        <v>8</v>
      </c>
      <c r="O1345" s="15"/>
      <c r="P1345" s="6">
        <v>40250.194872685184</v>
      </c>
      <c r="Q1345" s="17" t="s">
        <v>81</v>
      </c>
      <c r="R1345" s="16" t="s">
        <v>82</v>
      </c>
      <c r="S1345" s="11" t="s">
        <v>83</v>
      </c>
      <c r="T1345" s="12"/>
      <c r="U1345" s="10" t="str">
        <f t="shared" si="243"/>
        <v>View</v>
      </c>
    </row>
    <row r="1346" spans="1:21" ht="30.6">
      <c r="A1346" s="6">
        <v>43424.079409722224</v>
      </c>
      <c r="B1346" s="7" t="str">
        <f>HYPERLINK("https://twitter.com/pablo_casado","@pablo_casado")</f>
        <v>@pablo_casado</v>
      </c>
      <c r="C1346" s="8" t="s">
        <v>353</v>
      </c>
      <c r="D1346" s="9" t="s">
        <v>4846</v>
      </c>
      <c r="E1346" s="10" t="str">
        <f>HYPERLINK("https://twitter.com/pablo_casado/status/1064819227532627973","1064819227532627973")</f>
        <v>1064819227532627973</v>
      </c>
      <c r="F1346" s="11" t="s">
        <v>4847</v>
      </c>
      <c r="G1346" s="11" t="s">
        <v>4848</v>
      </c>
      <c r="H1346" s="12"/>
      <c r="I1346" s="13">
        <v>0</v>
      </c>
      <c r="J1346" s="13">
        <v>0</v>
      </c>
      <c r="K1346" s="14" t="str">
        <f t="shared" si="244"/>
        <v>Twitter Web Client</v>
      </c>
      <c r="L1346" s="13">
        <v>798</v>
      </c>
      <c r="M1346" s="13">
        <v>1165</v>
      </c>
      <c r="N1346" s="13">
        <v>16</v>
      </c>
      <c r="O1346" s="15"/>
      <c r="P1346" s="6">
        <v>40631.269189814819</v>
      </c>
      <c r="Q1346" s="17" t="s">
        <v>356</v>
      </c>
      <c r="R1346" s="16" t="s">
        <v>357</v>
      </c>
      <c r="S1346" s="11" t="s">
        <v>358</v>
      </c>
      <c r="T1346" s="12"/>
      <c r="U1346" s="10" t="str">
        <f>HYPERLINK("https://pbs.twimg.com/profile_images/960372546393837569/o7y23nco.jpg","View")</f>
        <v>View</v>
      </c>
    </row>
    <row r="1347" spans="1:21" ht="30.6">
      <c r="A1347" s="6">
        <v>43424.078206018516</v>
      </c>
      <c r="B1347" s="7" t="str">
        <f>HYPERLINK("https://twitter.com/pallaron12","@pallaron12")</f>
        <v>@pallaron12</v>
      </c>
      <c r="C1347" s="8" t="s">
        <v>4849</v>
      </c>
      <c r="D1347" s="9" t="s">
        <v>4850</v>
      </c>
      <c r="E1347" s="10" t="str">
        <f>HYPERLINK("https://twitter.com/pallaron12/status/1064818791094337536","1064818791094337536")</f>
        <v>1064818791094337536</v>
      </c>
      <c r="F1347" s="11" t="s">
        <v>4851</v>
      </c>
      <c r="G1347" s="12"/>
      <c r="H1347" s="12"/>
      <c r="I1347" s="13">
        <v>0</v>
      </c>
      <c r="J1347" s="13">
        <v>0</v>
      </c>
      <c r="K1347" s="14" t="str">
        <f>HYPERLINK("http://twitter.com/download/android","Twitter for Android")</f>
        <v>Twitter for Android</v>
      </c>
      <c r="L1347" s="13">
        <v>1412</v>
      </c>
      <c r="M1347" s="13">
        <v>501</v>
      </c>
      <c r="N1347" s="13">
        <v>8</v>
      </c>
      <c r="O1347" s="15"/>
      <c r="P1347" s="6">
        <v>41854.28634259259</v>
      </c>
      <c r="Q1347" s="17" t="s">
        <v>4852</v>
      </c>
      <c r="R1347" s="16" t="s">
        <v>4853</v>
      </c>
      <c r="S1347" s="12"/>
      <c r="T1347" s="12"/>
      <c r="U1347" s="10" t="str">
        <f>HYPERLINK("https://pbs.twimg.com/profile_images/1064713832633896961/NkwZ7D9D.jpg","View")</f>
        <v>View</v>
      </c>
    </row>
    <row r="1348" spans="1:21" ht="40.799999999999997">
      <c r="A1348" s="6">
        <v>43424.077638888892</v>
      </c>
      <c r="B1348" s="7" t="str">
        <f>HYPERLINK("https://twitter.com/Juancasadoo","@Juancasadoo")</f>
        <v>@Juancasadoo</v>
      </c>
      <c r="C1348" s="8" t="s">
        <v>4854</v>
      </c>
      <c r="D1348" s="9" t="s">
        <v>4855</v>
      </c>
      <c r="E1348" s="10" t="str">
        <f>HYPERLINK("https://twitter.com/Juancasadoo/status/1064818585124655106","1064818585124655106")</f>
        <v>1064818585124655106</v>
      </c>
      <c r="F1348" s="11" t="s">
        <v>4856</v>
      </c>
      <c r="G1348" s="12"/>
      <c r="H1348" s="12"/>
      <c r="I1348" s="13">
        <v>2</v>
      </c>
      <c r="J1348" s="13">
        <v>0</v>
      </c>
      <c r="K1348" s="14" t="str">
        <f t="shared" ref="K1348:K1349" si="245">HYPERLINK("http://twitter.com","Twitter Web Client")</f>
        <v>Twitter Web Client</v>
      </c>
      <c r="L1348" s="13">
        <v>2047</v>
      </c>
      <c r="M1348" s="13">
        <v>1603</v>
      </c>
      <c r="N1348" s="13">
        <v>31</v>
      </c>
      <c r="O1348" s="15"/>
      <c r="P1348" s="6">
        <v>41338.056898148148</v>
      </c>
      <c r="Q1348" s="17" t="s">
        <v>187</v>
      </c>
      <c r="R1348" s="16" t="s">
        <v>4857</v>
      </c>
      <c r="S1348" s="11" t="s">
        <v>4858</v>
      </c>
      <c r="T1348" s="12"/>
      <c r="U1348" s="10" t="str">
        <f>HYPERLINK("https://pbs.twimg.com/profile_images/790846287813935104/gz8Zcil7.jpg","View")</f>
        <v>View</v>
      </c>
    </row>
    <row r="1349" spans="1:21" ht="51">
      <c r="A1349" s="6">
        <v>43424.073171296295</v>
      </c>
      <c r="B1349" s="7" t="str">
        <f>HYPERLINK("https://twitter.com/Viczuri","@Viczuri")</f>
        <v>@Viczuri</v>
      </c>
      <c r="C1349" s="8" t="s">
        <v>4859</v>
      </c>
      <c r="D1349" s="9" t="s">
        <v>4860</v>
      </c>
      <c r="E1349" s="10" t="str">
        <f>HYPERLINK("https://twitter.com/Viczuri/status/1064816966723125249","1064816966723125249")</f>
        <v>1064816966723125249</v>
      </c>
      <c r="F1349" s="12"/>
      <c r="G1349" s="11" t="s">
        <v>4861</v>
      </c>
      <c r="H1349" s="12"/>
      <c r="I1349" s="13">
        <v>11</v>
      </c>
      <c r="J1349" s="13">
        <v>9</v>
      </c>
      <c r="K1349" s="14" t="str">
        <f t="shared" si="245"/>
        <v>Twitter Web Client</v>
      </c>
      <c r="L1349" s="13">
        <v>4157</v>
      </c>
      <c r="M1349" s="13">
        <v>3880</v>
      </c>
      <c r="N1349" s="13">
        <v>19</v>
      </c>
      <c r="O1349" s="15"/>
      <c r="P1349" s="6">
        <v>40553.193287037036</v>
      </c>
      <c r="Q1349" s="12"/>
      <c r="R1349" s="16" t="s">
        <v>4862</v>
      </c>
      <c r="S1349" s="12"/>
      <c r="T1349" s="12"/>
      <c r="U1349" s="10" t="str">
        <f>HYPERLINK("https://pbs.twimg.com/profile_images/977318990291918849/47D9f3lc.jpg","View")</f>
        <v>View</v>
      </c>
    </row>
    <row r="1350" spans="1:21" ht="40.799999999999997">
      <c r="A1350" s="6">
        <v>43424.072106481486</v>
      </c>
      <c r="B1350" s="7" t="str">
        <f>HYPERLINK("https://twitter.com/HuelvaBN","@HuelvaBN")</f>
        <v>@HuelvaBN</v>
      </c>
      <c r="C1350" s="8" t="s">
        <v>4863</v>
      </c>
      <c r="D1350" s="9" t="s">
        <v>4864</v>
      </c>
      <c r="E1350" s="10" t="str">
        <f>HYPERLINK("https://twitter.com/HuelvaBN/status/1064816580171898880","1064816580171898880")</f>
        <v>1064816580171898880</v>
      </c>
      <c r="F1350" s="11" t="s">
        <v>4865</v>
      </c>
      <c r="G1350" s="12"/>
      <c r="H1350" s="12"/>
      <c r="I1350" s="13">
        <v>0</v>
      </c>
      <c r="J1350" s="13">
        <v>0</v>
      </c>
      <c r="K1350" s="14" t="str">
        <f>HYPERLINK("http://huelvabuenasnoticias.com/","HuelvaBN")</f>
        <v>HuelvaBN</v>
      </c>
      <c r="L1350" s="13">
        <v>10651</v>
      </c>
      <c r="M1350" s="13">
        <v>617</v>
      </c>
      <c r="N1350" s="13">
        <v>206</v>
      </c>
      <c r="O1350" s="15"/>
      <c r="P1350" s="6">
        <v>41254.504803240743</v>
      </c>
      <c r="Q1350" s="17" t="s">
        <v>2009</v>
      </c>
      <c r="R1350" s="16" t="s">
        <v>4866</v>
      </c>
      <c r="S1350" s="11" t="s">
        <v>4867</v>
      </c>
      <c r="T1350" s="12"/>
      <c r="U1350" s="10" t="str">
        <f>HYPERLINK("https://pbs.twimg.com/profile_images/631957948466634752/MwM08qEZ.png","View")</f>
        <v>View</v>
      </c>
    </row>
    <row r="1351" spans="1:21" ht="40.799999999999997">
      <c r="A1351" s="6">
        <v>43424.068449074075</v>
      </c>
      <c r="B1351" s="7" t="str">
        <f>HYPERLINK("https://twitter.com/esparepublicana","@esparepublicana")</f>
        <v>@esparepublicana</v>
      </c>
      <c r="C1351" s="8" t="s">
        <v>4868</v>
      </c>
      <c r="D1351" s="9" t="s">
        <v>4817</v>
      </c>
      <c r="E1351" s="10" t="str">
        <f>HYPERLINK("https://twitter.com/esparepublicana/status/1064815253727387648","1064815253727387648")</f>
        <v>1064815253727387648</v>
      </c>
      <c r="F1351" s="11" t="s">
        <v>3031</v>
      </c>
      <c r="G1351" s="12"/>
      <c r="H1351" s="12"/>
      <c r="I1351" s="13">
        <v>0</v>
      </c>
      <c r="J1351" s="13">
        <v>0</v>
      </c>
      <c r="K1351" s="14" t="str">
        <f>HYPERLINK("http://twitter.com/download/iphone","Twitter for iPhone")</f>
        <v>Twitter for iPhone</v>
      </c>
      <c r="L1351" s="13">
        <v>2527</v>
      </c>
      <c r="M1351" s="13">
        <v>2555</v>
      </c>
      <c r="N1351" s="13">
        <v>19</v>
      </c>
      <c r="O1351" s="15"/>
      <c r="P1351" s="6">
        <v>41336.129074074073</v>
      </c>
      <c r="Q1351" s="17" t="s">
        <v>4869</v>
      </c>
      <c r="R1351" s="16" t="s">
        <v>4870</v>
      </c>
      <c r="S1351" s="11" t="s">
        <v>4871</v>
      </c>
      <c r="T1351" s="12"/>
      <c r="U1351" s="10" t="str">
        <f>HYPERLINK("https://pbs.twimg.com/profile_images/828971309157666823/ZkC3U6Vb.jpg","View")</f>
        <v>View</v>
      </c>
    </row>
    <row r="1352" spans="1:21" ht="40.799999999999997">
      <c r="A1352" s="6">
        <v>43424.05604166667</v>
      </c>
      <c r="B1352" s="7" t="str">
        <f>HYPERLINK("https://twitter.com/_Marineda","@_Marineda")</f>
        <v>@_Marineda</v>
      </c>
      <c r="C1352" s="8" t="s">
        <v>4872</v>
      </c>
      <c r="D1352" s="9" t="s">
        <v>4873</v>
      </c>
      <c r="E1352" s="10" t="str">
        <f>HYPERLINK("https://twitter.com/_Marineda/status/1064810757198700544","1064810757198700544")</f>
        <v>1064810757198700544</v>
      </c>
      <c r="F1352" s="11" t="s">
        <v>4874</v>
      </c>
      <c r="G1352" s="12"/>
      <c r="H1352" s="12"/>
      <c r="I1352" s="13">
        <v>0</v>
      </c>
      <c r="J1352" s="13">
        <v>0</v>
      </c>
      <c r="K1352" s="14" t="str">
        <f t="shared" ref="K1352:K1355" si="246">HYPERLINK("http://twitter.com","Twitter Web Client")</f>
        <v>Twitter Web Client</v>
      </c>
      <c r="L1352" s="13">
        <v>253</v>
      </c>
      <c r="M1352" s="13">
        <v>232</v>
      </c>
      <c r="N1352" s="13">
        <v>8</v>
      </c>
      <c r="O1352" s="15"/>
      <c r="P1352" s="6">
        <v>40789.652685185181</v>
      </c>
      <c r="Q1352" s="17" t="s">
        <v>29</v>
      </c>
      <c r="R1352" s="16" t="s">
        <v>4875</v>
      </c>
      <c r="S1352" s="12"/>
      <c r="T1352" s="12"/>
      <c r="U1352" s="10" t="str">
        <f>HYPERLINK("https://pbs.twimg.com/profile_images/1059904637011136518/14WZ8OtZ.jpg","View")</f>
        <v>View</v>
      </c>
    </row>
    <row r="1353" spans="1:21" ht="40.799999999999997">
      <c r="A1353" s="6">
        <v>43424.05532407407</v>
      </c>
      <c r="B1353" s="7" t="str">
        <f>HYPERLINK("https://twitter.com/Boulevardeitb","@Boulevardeitb")</f>
        <v>@Boulevardeitb</v>
      </c>
      <c r="C1353" s="8" t="s">
        <v>4876</v>
      </c>
      <c r="D1353" s="9" t="s">
        <v>4877</v>
      </c>
      <c r="E1353" s="10" t="str">
        <f>HYPERLINK("https://twitter.com/Boulevardeitb/status/1064810499475415041","1064810499475415041")</f>
        <v>1064810499475415041</v>
      </c>
      <c r="F1353" s="11" t="s">
        <v>4878</v>
      </c>
      <c r="G1353" s="11" t="s">
        <v>4879</v>
      </c>
      <c r="H1353" s="12"/>
      <c r="I1353" s="13">
        <v>2</v>
      </c>
      <c r="J1353" s="13">
        <v>3</v>
      </c>
      <c r="K1353" s="14" t="str">
        <f t="shared" si="246"/>
        <v>Twitter Web Client</v>
      </c>
      <c r="L1353" s="13">
        <v>4821</v>
      </c>
      <c r="M1353" s="13">
        <v>450</v>
      </c>
      <c r="N1353" s="13">
        <v>110</v>
      </c>
      <c r="O1353" s="15"/>
      <c r="P1353" s="6">
        <v>40787.140601851854</v>
      </c>
      <c r="Q1353" s="17" t="s">
        <v>4880</v>
      </c>
      <c r="R1353" s="16" t="s">
        <v>4881</v>
      </c>
      <c r="S1353" s="11" t="s">
        <v>4882</v>
      </c>
      <c r="T1353" s="12"/>
      <c r="U1353" s="10" t="str">
        <f>HYPERLINK("https://pbs.twimg.com/profile_images/1044564433530433536/STF9DzxL.jpg","View")</f>
        <v>View</v>
      </c>
    </row>
    <row r="1354" spans="1:21" ht="61.2">
      <c r="A1354" s="6">
        <v>43424.054872685185</v>
      </c>
      <c r="B1354" s="7" t="str">
        <f>HYPERLINK("https://twitter.com/blythe_club","@blythe_club")</f>
        <v>@blythe_club</v>
      </c>
      <c r="C1354" s="8" t="s">
        <v>3342</v>
      </c>
      <c r="D1354" s="9" t="s">
        <v>4883</v>
      </c>
      <c r="E1354" s="10" t="str">
        <f>HYPERLINK("https://twitter.com/blythe_club/status/1064810331904647168","1064810331904647168")</f>
        <v>1064810331904647168</v>
      </c>
      <c r="F1354" s="17" t="s">
        <v>4884</v>
      </c>
      <c r="G1354" s="12"/>
      <c r="H1354" s="12"/>
      <c r="I1354" s="13">
        <v>3</v>
      </c>
      <c r="J1354" s="13">
        <v>7</v>
      </c>
      <c r="K1354" s="14" t="str">
        <f t="shared" si="246"/>
        <v>Twitter Web Client</v>
      </c>
      <c r="L1354" s="13">
        <v>9290</v>
      </c>
      <c r="M1354" s="13">
        <v>9354</v>
      </c>
      <c r="N1354" s="13">
        <v>107</v>
      </c>
      <c r="O1354" s="15"/>
      <c r="P1354" s="6">
        <v>40688.388182870374</v>
      </c>
      <c r="Q1354" s="17" t="s">
        <v>3345</v>
      </c>
      <c r="R1354" s="16" t="s">
        <v>3346</v>
      </c>
      <c r="S1354" s="12"/>
      <c r="T1354" s="12"/>
      <c r="U1354" s="10" t="str">
        <f>HYPERLINK("https://pbs.twimg.com/profile_images/1368631894/blythe_4.JPG","View")</f>
        <v>View</v>
      </c>
    </row>
    <row r="1355" spans="1:21" ht="30.6">
      <c r="A1355" s="6">
        <v>43424.050983796296</v>
      </c>
      <c r="B1355" s="7" t="str">
        <f>HYPERLINK("https://twitter.com/fermont1965","@fermont1965")</f>
        <v>@fermont1965</v>
      </c>
      <c r="C1355" s="8" t="s">
        <v>3138</v>
      </c>
      <c r="D1355" s="9" t="s">
        <v>4885</v>
      </c>
      <c r="E1355" s="10" t="str">
        <f>HYPERLINK("https://twitter.com/fermont1965/status/1064808924346503168","1064808924346503168")</f>
        <v>1064808924346503168</v>
      </c>
      <c r="F1355" s="12"/>
      <c r="G1355" s="12"/>
      <c r="H1355" s="12"/>
      <c r="I1355" s="13">
        <v>0</v>
      </c>
      <c r="J1355" s="13">
        <v>0</v>
      </c>
      <c r="K1355" s="14" t="str">
        <f t="shared" si="246"/>
        <v>Twitter Web Client</v>
      </c>
      <c r="L1355" s="13">
        <v>35300</v>
      </c>
      <c r="M1355" s="13">
        <v>9087</v>
      </c>
      <c r="N1355" s="13">
        <v>301</v>
      </c>
      <c r="O1355" s="15"/>
      <c r="P1355" s="6">
        <v>40608.385115740741</v>
      </c>
      <c r="Q1355" s="17" t="s">
        <v>635</v>
      </c>
      <c r="R1355" s="16" t="s">
        <v>3141</v>
      </c>
      <c r="S1355" s="12"/>
      <c r="T1355" s="12"/>
      <c r="U1355" s="10" t="str">
        <f>HYPERLINK("https://pbs.twimg.com/profile_images/617818600326438912/_o-dirdy.jpg","View")</f>
        <v>View</v>
      </c>
    </row>
    <row r="1356" spans="1:21" ht="40.799999999999997">
      <c r="A1356" s="6">
        <v>43424.049386574072</v>
      </c>
      <c r="B1356" s="7" t="str">
        <f>HYPERLINK("https://twitter.com/Judit_Rossell","@Judit_Rossell")</f>
        <v>@Judit_Rossell</v>
      </c>
      <c r="C1356" s="8" t="s">
        <v>4886</v>
      </c>
      <c r="D1356" s="9" t="s">
        <v>4887</v>
      </c>
      <c r="E1356" s="10" t="str">
        <f>HYPERLINK("https://twitter.com/Judit_Rossell/status/1064808345222168576","1064808345222168576")</f>
        <v>1064808345222168576</v>
      </c>
      <c r="F1356" s="11" t="s">
        <v>4888</v>
      </c>
      <c r="G1356" s="12"/>
      <c r="H1356" s="12"/>
      <c r="I1356" s="13">
        <v>0</v>
      </c>
      <c r="J1356" s="13">
        <v>0</v>
      </c>
      <c r="K1356" s="14" t="str">
        <f>HYPERLINK("http://twitter.com/download/iphone","Twitter for iPhone")</f>
        <v>Twitter for iPhone</v>
      </c>
      <c r="L1356" s="13">
        <v>350</v>
      </c>
      <c r="M1356" s="13">
        <v>360</v>
      </c>
      <c r="N1356" s="13">
        <v>8</v>
      </c>
      <c r="O1356" s="15"/>
      <c r="P1356" s="6">
        <v>41383.360347222224</v>
      </c>
      <c r="Q1356" s="12"/>
      <c r="R1356" s="16" t="s">
        <v>4889</v>
      </c>
      <c r="S1356" s="12"/>
      <c r="T1356" s="12"/>
      <c r="U1356" s="10" t="str">
        <f>HYPERLINK("https://pbs.twimg.com/profile_images/531555303264104450/HIFnJIbR.jpeg","View")</f>
        <v>View</v>
      </c>
    </row>
    <row r="1357" spans="1:21" ht="20.399999999999999">
      <c r="A1357" s="6">
        <v>43424.04887731481</v>
      </c>
      <c r="B1357" s="7" t="str">
        <f>HYPERLINK("https://twitter.com/AntonioCan0","@AntonioCan0")</f>
        <v>@AntonioCan0</v>
      </c>
      <c r="C1357" s="8" t="s">
        <v>3005</v>
      </c>
      <c r="D1357" s="9" t="s">
        <v>4890</v>
      </c>
      <c r="E1357" s="10" t="str">
        <f>HYPERLINK("https://twitter.com/AntonioCan0/status/1064808160966397953","1064808160966397953")</f>
        <v>1064808160966397953</v>
      </c>
      <c r="F1357" s="12"/>
      <c r="G1357" s="12"/>
      <c r="H1357" s="12"/>
      <c r="I1357" s="13">
        <v>1</v>
      </c>
      <c r="J1357" s="13">
        <v>7</v>
      </c>
      <c r="K1357" s="14" t="str">
        <f>HYPERLINK("http://twitter.com","Twitter Web Client")</f>
        <v>Twitter Web Client</v>
      </c>
      <c r="L1357" s="13">
        <v>198</v>
      </c>
      <c r="M1357" s="13">
        <v>507</v>
      </c>
      <c r="N1357" s="13">
        <v>2</v>
      </c>
      <c r="O1357" s="15"/>
      <c r="P1357" s="6">
        <v>42096.305532407408</v>
      </c>
      <c r="Q1357" s="17" t="s">
        <v>4891</v>
      </c>
      <c r="R1357" s="16" t="s">
        <v>4892</v>
      </c>
      <c r="S1357" s="12"/>
      <c r="T1357" s="12"/>
      <c r="U1357" s="10" t="str">
        <f>HYPERLINK("https://pbs.twimg.com/profile_images/1053325501857718272/QLuiyGqy.jpg","View")</f>
        <v>View</v>
      </c>
    </row>
    <row r="1358" spans="1:21" ht="30.6">
      <c r="A1358" s="6">
        <v>43424.045717592591</v>
      </c>
      <c r="B1358" s="7" t="str">
        <f>HYPERLINK("https://twitter.com/Ramonlar","@Ramonlar")</f>
        <v>@Ramonlar</v>
      </c>
      <c r="C1358" s="8" t="s">
        <v>4893</v>
      </c>
      <c r="D1358" s="9" t="s">
        <v>3037</v>
      </c>
      <c r="E1358" s="10" t="str">
        <f>HYPERLINK("https://twitter.com/Ramonlar/status/1064807015418089473","1064807015418089473")</f>
        <v>1064807015418089473</v>
      </c>
      <c r="F1358" s="11" t="s">
        <v>3038</v>
      </c>
      <c r="G1358" s="12"/>
      <c r="H1358" s="12"/>
      <c r="I1358" s="13">
        <v>0</v>
      </c>
      <c r="J1358" s="13">
        <v>0</v>
      </c>
      <c r="K1358" s="14" t="str">
        <f>HYPERLINK("http://www.facebook.com/twitter","Facebook")</f>
        <v>Facebook</v>
      </c>
      <c r="L1358" s="13">
        <v>117</v>
      </c>
      <c r="M1358" s="13">
        <v>257</v>
      </c>
      <c r="N1358" s="13">
        <v>11</v>
      </c>
      <c r="O1358" s="15"/>
      <c r="P1358" s="6">
        <v>40776.118946759263</v>
      </c>
      <c r="Q1358" s="17" t="s">
        <v>971</v>
      </c>
      <c r="R1358" s="16" t="s">
        <v>4894</v>
      </c>
      <c r="S1358" s="11" t="s">
        <v>4895</v>
      </c>
      <c r="T1358" s="12"/>
      <c r="U1358" s="10" t="str">
        <f>HYPERLINK("https://pbs.twimg.com/profile_images/443149092374331392/0-bwj3x3.jpeg","View")</f>
        <v>View</v>
      </c>
    </row>
    <row r="1359" spans="1:21" ht="51">
      <c r="A1359" s="6">
        <v>43424.043703703705</v>
      </c>
      <c r="B1359" s="7" t="str">
        <f>HYPERLINK("https://twitter.com/cuchybasi","@cuchybasi")</f>
        <v>@cuchybasi</v>
      </c>
      <c r="C1359" s="8" t="s">
        <v>4896</v>
      </c>
      <c r="D1359" s="9" t="s">
        <v>4897</v>
      </c>
      <c r="E1359" s="10" t="str">
        <f>HYPERLINK("https://twitter.com/cuchybasi/status/1064806287345664001","1064806287345664001")</f>
        <v>1064806287345664001</v>
      </c>
      <c r="F1359" s="11" t="s">
        <v>4898</v>
      </c>
      <c r="G1359" s="12"/>
      <c r="H1359" s="12"/>
      <c r="I1359" s="13">
        <v>0</v>
      </c>
      <c r="J1359" s="13">
        <v>0</v>
      </c>
      <c r="K1359" s="14" t="str">
        <f>HYPERLINK("http://twitter.com/download/iphone","Twitter for iPhone")</f>
        <v>Twitter for iPhone</v>
      </c>
      <c r="L1359" s="13">
        <v>468</v>
      </c>
      <c r="M1359" s="13">
        <v>732</v>
      </c>
      <c r="N1359" s="13">
        <v>16</v>
      </c>
      <c r="O1359" s="15"/>
      <c r="P1359" s="6">
        <v>41293.11109953704</v>
      </c>
      <c r="Q1359" s="17" t="s">
        <v>1993</v>
      </c>
      <c r="R1359" s="18"/>
      <c r="S1359" s="12"/>
      <c r="T1359" s="12"/>
      <c r="U1359" s="10" t="str">
        <f>HYPERLINK("https://pbs.twimg.com/profile_images/911981763399954432/wNKWlzXq.jpg","View")</f>
        <v>View</v>
      </c>
    </row>
    <row r="1360" spans="1:21" ht="40.799999999999997">
      <c r="A1360" s="6">
        <v>43424.042685185181</v>
      </c>
      <c r="B1360" s="7" t="str">
        <f>HYPERLINK("https://twitter.com/Boulevardeitb","@Boulevardeitb")</f>
        <v>@Boulevardeitb</v>
      </c>
      <c r="C1360" s="8" t="s">
        <v>4876</v>
      </c>
      <c r="D1360" s="9" t="s">
        <v>4899</v>
      </c>
      <c r="E1360" s="10" t="str">
        <f>HYPERLINK("https://twitter.com/Boulevardeitb/status/1064805919090008064","1064805919090008064")</f>
        <v>1064805919090008064</v>
      </c>
      <c r="F1360" s="11" t="s">
        <v>4878</v>
      </c>
      <c r="G1360" s="12"/>
      <c r="H1360" s="12"/>
      <c r="I1360" s="13">
        <v>3</v>
      </c>
      <c r="J1360" s="13">
        <v>1</v>
      </c>
      <c r="K1360" s="14" t="str">
        <f>HYPERLINK("https://about.twitter.com/products/tweetdeck","TweetDeck")</f>
        <v>TweetDeck</v>
      </c>
      <c r="L1360" s="13">
        <v>4821</v>
      </c>
      <c r="M1360" s="13">
        <v>450</v>
      </c>
      <c r="N1360" s="13">
        <v>110</v>
      </c>
      <c r="O1360" s="15"/>
      <c r="P1360" s="6">
        <v>40787.140601851854</v>
      </c>
      <c r="Q1360" s="17" t="s">
        <v>4880</v>
      </c>
      <c r="R1360" s="16" t="s">
        <v>4881</v>
      </c>
      <c r="S1360" s="11" t="s">
        <v>4882</v>
      </c>
      <c r="T1360" s="12"/>
      <c r="U1360" s="10" t="str">
        <f>HYPERLINK("https://pbs.twimg.com/profile_images/1044564433530433536/STF9DzxL.jpg","View")</f>
        <v>View</v>
      </c>
    </row>
    <row r="1361" spans="1:21" ht="20.399999999999999">
      <c r="A1361" s="6">
        <v>43424.038136574076</v>
      </c>
      <c r="B1361" s="7" t="str">
        <f>HYPERLINK("https://twitter.com/MediterraneoDGT","@MediterraneoDGT")</f>
        <v>@MediterraneoDGT</v>
      </c>
      <c r="C1361" s="8" t="s">
        <v>4900</v>
      </c>
      <c r="D1361" s="9" t="s">
        <v>4901</v>
      </c>
      <c r="E1361" s="10" t="str">
        <f>HYPERLINK("https://twitter.com/MediterraneoDGT/status/1064804268513873920","1064804268513873920")</f>
        <v>1064804268513873920</v>
      </c>
      <c r="F1361" s="11" t="s">
        <v>1920</v>
      </c>
      <c r="G1361" s="12"/>
      <c r="H1361" s="12"/>
      <c r="I1361" s="13">
        <v>1</v>
      </c>
      <c r="J1361" s="13">
        <v>3</v>
      </c>
      <c r="K1361" s="14" t="str">
        <f>HYPERLINK("http://twitter.com","Twitter Web Client")</f>
        <v>Twitter Web Client</v>
      </c>
      <c r="L1361" s="13">
        <v>46691</v>
      </c>
      <c r="M1361" s="13">
        <v>588</v>
      </c>
      <c r="N1361" s="13">
        <v>427</v>
      </c>
      <c r="O1361" s="19" t="s">
        <v>74</v>
      </c>
      <c r="P1361" s="6">
        <v>40460.411620370374</v>
      </c>
      <c r="Q1361" s="17" t="s">
        <v>29</v>
      </c>
      <c r="R1361" s="16" t="s">
        <v>4902</v>
      </c>
      <c r="S1361" s="11" t="s">
        <v>4903</v>
      </c>
      <c r="T1361" s="12"/>
      <c r="U1361" s="10" t="str">
        <f>HYPERLINK("https://pbs.twimg.com/profile_images/756475645941673984/TNBJ4frX.jpg","View")</f>
        <v>View</v>
      </c>
    </row>
    <row r="1362" spans="1:21" ht="40.799999999999997">
      <c r="A1362" s="6">
        <v>43424.028263888889</v>
      </c>
      <c r="B1362" s="7" t="str">
        <f>HYPERLINK("https://twitter.com/Iberismo_","@Iberismo_")</f>
        <v>@Iberismo_</v>
      </c>
      <c r="C1362" s="8" t="s">
        <v>4904</v>
      </c>
      <c r="D1362" s="9" t="s">
        <v>4905</v>
      </c>
      <c r="E1362" s="10" t="str">
        <f>HYPERLINK("https://twitter.com/Iberismo_/status/1064800693222076417","1064800693222076417")</f>
        <v>1064800693222076417</v>
      </c>
      <c r="F1362" s="12"/>
      <c r="G1362" s="12"/>
      <c r="H1362" s="12"/>
      <c r="I1362" s="13">
        <v>2</v>
      </c>
      <c r="J1362" s="13">
        <v>2</v>
      </c>
      <c r="K1362" s="14" t="str">
        <f>HYPERLINK("http://www.facebook.com/twitter","Facebook")</f>
        <v>Facebook</v>
      </c>
      <c r="L1362" s="13">
        <v>14226</v>
      </c>
      <c r="M1362" s="13">
        <v>12379</v>
      </c>
      <c r="N1362" s="13">
        <v>53</v>
      </c>
      <c r="O1362" s="15"/>
      <c r="P1362" s="6">
        <v>42515.301458333328</v>
      </c>
      <c r="Q1362" s="17" t="s">
        <v>4906</v>
      </c>
      <c r="R1362" s="16" t="s">
        <v>4907</v>
      </c>
      <c r="S1362" s="11" t="s">
        <v>4908</v>
      </c>
      <c r="T1362" s="12"/>
      <c r="U1362" s="10" t="str">
        <f>HYPERLINK("https://pbs.twimg.com/profile_images/1016633822996201473/Cnb_KS6S.jpg","View")</f>
        <v>View</v>
      </c>
    </row>
    <row r="1363" spans="1:21" ht="40.799999999999997">
      <c r="A1363" s="6">
        <v>43424.027708333335</v>
      </c>
      <c r="B1363" s="7" t="str">
        <f>HYPERLINK("https://twitter.com/marioverasi","@marioverasi")</f>
        <v>@marioverasi</v>
      </c>
      <c r="C1363" s="8" t="s">
        <v>4909</v>
      </c>
      <c r="D1363" s="9" t="s">
        <v>4910</v>
      </c>
      <c r="E1363" s="10" t="str">
        <f>HYPERLINK("https://twitter.com/marioverasi/status/1064800491320815616","1064800491320815616")</f>
        <v>1064800491320815616</v>
      </c>
      <c r="F1363" s="11" t="s">
        <v>4911</v>
      </c>
      <c r="G1363" s="12"/>
      <c r="H1363" s="12"/>
      <c r="I1363" s="13">
        <v>0</v>
      </c>
      <c r="J1363" s="13">
        <v>0</v>
      </c>
      <c r="K1363" s="14" t="str">
        <f>HYPERLINK("http://twitter.com","Twitter Web Client")</f>
        <v>Twitter Web Client</v>
      </c>
      <c r="L1363" s="13">
        <v>1193</v>
      </c>
      <c r="M1363" s="13">
        <v>598</v>
      </c>
      <c r="N1363" s="13">
        <v>37</v>
      </c>
      <c r="O1363" s="15"/>
      <c r="P1363" s="6">
        <v>40470.187291666669</v>
      </c>
      <c r="Q1363" s="12"/>
      <c r="R1363" s="16" t="s">
        <v>4912</v>
      </c>
      <c r="S1363" s="12"/>
      <c r="T1363" s="12"/>
      <c r="U1363" s="10" t="str">
        <f>HYPERLINK("https://pbs.twimg.com/profile_images/1006145353618481157/kBTPrZxH.jpg","View")</f>
        <v>View</v>
      </c>
    </row>
    <row r="1364" spans="1:21" ht="20.399999999999999">
      <c r="A1364" s="6">
        <v>43424.027233796296</v>
      </c>
      <c r="B1364" s="7" t="str">
        <f>HYPERLINK("https://twitter.com/Franciscoalbac3","@Franciscoalbac3")</f>
        <v>@Franciscoalbac3</v>
      </c>
      <c r="C1364" s="8" t="s">
        <v>4913</v>
      </c>
      <c r="D1364" s="9" t="s">
        <v>4914</v>
      </c>
      <c r="E1364" s="10" t="str">
        <f>HYPERLINK("https://twitter.com/Franciscoalbac3/status/1064800318309974016","1064800318309974016")</f>
        <v>1064800318309974016</v>
      </c>
      <c r="F1364" s="11" t="s">
        <v>320</v>
      </c>
      <c r="G1364" s="12"/>
      <c r="H1364" s="12"/>
      <c r="I1364" s="13">
        <v>0</v>
      </c>
      <c r="J1364" s="13">
        <v>0</v>
      </c>
      <c r="K1364" s="14" t="str">
        <f>HYPERLINK("http://twitter.com/download/android","Twitter for Android")</f>
        <v>Twitter for Android</v>
      </c>
      <c r="L1364" s="13">
        <v>372</v>
      </c>
      <c r="M1364" s="13">
        <v>942</v>
      </c>
      <c r="N1364" s="13">
        <v>0</v>
      </c>
      <c r="O1364" s="15"/>
      <c r="P1364" s="6">
        <v>43374.43545138889</v>
      </c>
      <c r="Q1364" s="17" t="s">
        <v>338</v>
      </c>
      <c r="R1364" s="16" t="s">
        <v>4916</v>
      </c>
      <c r="S1364" s="12"/>
      <c r="T1364" s="12"/>
      <c r="U1364" s="10" t="str">
        <f>HYPERLINK("https://pbs.twimg.com/profile_images/1046818958786088961/vDXcbRmG.jpg","View")</f>
        <v>View</v>
      </c>
    </row>
    <row r="1365" spans="1:21" ht="51">
      <c r="A1365" s="6">
        <v>43424.026423611111</v>
      </c>
      <c r="B1365" s="7" t="str">
        <f>HYPERLINK("https://twitter.com/yesnowinlose","@yesnowinlose")</f>
        <v>@yesnowinlose</v>
      </c>
      <c r="C1365" s="8" t="s">
        <v>4919</v>
      </c>
      <c r="D1365" s="9" t="s">
        <v>4920</v>
      </c>
      <c r="E1365" s="10" t="str">
        <f>HYPERLINK("https://twitter.com/yesnowinlose/status/1064800024712880129","1064800024712880129")</f>
        <v>1064800024712880129</v>
      </c>
      <c r="F1365" s="12"/>
      <c r="G1365" s="11" t="s">
        <v>4921</v>
      </c>
      <c r="H1365" s="12"/>
      <c r="I1365" s="13">
        <v>8</v>
      </c>
      <c r="J1365" s="13">
        <v>16</v>
      </c>
      <c r="K1365" s="14" t="str">
        <f>HYPERLINK("https://mobile.twitter.com","Twitter Lite")</f>
        <v>Twitter Lite</v>
      </c>
      <c r="L1365" s="13">
        <v>329</v>
      </c>
      <c r="M1365" s="13">
        <v>390</v>
      </c>
      <c r="N1365" s="13">
        <v>4</v>
      </c>
      <c r="O1365" s="15"/>
      <c r="P1365" s="6">
        <v>41279.370439814811</v>
      </c>
      <c r="Q1365" s="17" t="s">
        <v>4922</v>
      </c>
      <c r="R1365" s="16" t="s">
        <v>4923</v>
      </c>
      <c r="S1365" s="12"/>
      <c r="T1365" s="12"/>
      <c r="U1365" s="10" t="str">
        <f>HYPERLINK("https://pbs.twimg.com/profile_images/1034766359639584768/-pQL7OFh.jpg","View")</f>
        <v>View</v>
      </c>
    </row>
    <row r="1366" spans="1:21" ht="30.6">
      <c r="A1366" s="6">
        <v>43424.025104166663</v>
      </c>
      <c r="B1366" s="7" t="str">
        <f>HYPERLINK("https://twitter.com/LaCupulaDeLaIRA","@LaCupulaDeLaIRA")</f>
        <v>@LaCupulaDeLaIRA</v>
      </c>
      <c r="C1366" s="8" t="s">
        <v>4924</v>
      </c>
      <c r="D1366" s="9" t="s">
        <v>4925</v>
      </c>
      <c r="E1366" s="10" t="str">
        <f>HYPERLINK("https://twitter.com/LaCupulaDeLaIRA/status/1064799544448348160","1064799544448348160")</f>
        <v>1064799544448348160</v>
      </c>
      <c r="F1366" s="12"/>
      <c r="G1366" s="11" t="s">
        <v>4926</v>
      </c>
      <c r="H1366" s="12"/>
      <c r="I1366" s="13">
        <v>0</v>
      </c>
      <c r="J1366" s="13">
        <v>1</v>
      </c>
      <c r="K1366" s="14" t="str">
        <f>HYPERLINK("http://twitter.com/download/iphone","Twitter for iPhone")</f>
        <v>Twitter for iPhone</v>
      </c>
      <c r="L1366" s="13">
        <v>447</v>
      </c>
      <c r="M1366" s="13">
        <v>257</v>
      </c>
      <c r="N1366" s="13">
        <v>12</v>
      </c>
      <c r="O1366" s="15"/>
      <c r="P1366" s="6">
        <v>40587.665543981479</v>
      </c>
      <c r="Q1366" s="17" t="s">
        <v>4927</v>
      </c>
      <c r="R1366" s="16" t="s">
        <v>4928</v>
      </c>
      <c r="S1366" s="12"/>
      <c r="T1366" s="12"/>
      <c r="U1366" s="10" t="str">
        <f>HYPERLINK("https://pbs.twimg.com/profile_images/1035098301845172224/2Uli2mL3.jpg","View")</f>
        <v>View</v>
      </c>
    </row>
    <row r="1367" spans="1:21" ht="51">
      <c r="A1367" s="6">
        <v>43424.022673611107</v>
      </c>
      <c r="B1367" s="7" t="str">
        <f>HYPERLINK("https://twitter.com/Abogado_WTorres","@Abogado_WTorres")</f>
        <v>@Abogado_WTorres</v>
      </c>
      <c r="C1367" s="8" t="s">
        <v>2051</v>
      </c>
      <c r="D1367" s="9" t="s">
        <v>4929</v>
      </c>
      <c r="E1367" s="10" t="str">
        <f>HYPERLINK("https://twitter.com/Abogado_WTorres/status/1064798665703911426","1064798665703911426")</f>
        <v>1064798665703911426</v>
      </c>
      <c r="F1367" s="12"/>
      <c r="G1367" s="12"/>
      <c r="H1367" s="12"/>
      <c r="I1367" s="13">
        <v>0</v>
      </c>
      <c r="J1367" s="13">
        <v>0</v>
      </c>
      <c r="K1367" s="14" t="str">
        <f>HYPERLINK("http://www.facebook.com/twitter","Facebook")</f>
        <v>Facebook</v>
      </c>
      <c r="L1367" s="13">
        <v>350</v>
      </c>
      <c r="M1367" s="13">
        <v>395</v>
      </c>
      <c r="N1367" s="13">
        <v>1</v>
      </c>
      <c r="O1367" s="15"/>
      <c r="P1367" s="6">
        <v>40983.019050925926</v>
      </c>
      <c r="Q1367" s="17" t="s">
        <v>29</v>
      </c>
      <c r="R1367" s="16" t="s">
        <v>2054</v>
      </c>
      <c r="S1367" s="12"/>
      <c r="T1367" s="12"/>
      <c r="U1367" s="10" t="str">
        <f>HYPERLINK("https://pbs.twimg.com/profile_images/712090737442217984/fi60dQ-V.jpg","View")</f>
        <v>View</v>
      </c>
    </row>
    <row r="1368" spans="1:21" ht="30.6">
      <c r="A1368" s="6">
        <v>43424.018171296295</v>
      </c>
      <c r="B1368" s="7" t="str">
        <f>HYPERLINK("https://twitter.com/JuanCar09825733","@JuanCar09825733")</f>
        <v>@JuanCar09825733</v>
      </c>
      <c r="C1368" s="8" t="s">
        <v>4932</v>
      </c>
      <c r="D1368" s="9" t="s">
        <v>4933</v>
      </c>
      <c r="E1368" s="10" t="str">
        <f>HYPERLINK("https://twitter.com/JuanCar09825733/status/1064797033847025664","1064797033847025664")</f>
        <v>1064797033847025664</v>
      </c>
      <c r="F1368" s="12"/>
      <c r="G1368" s="12"/>
      <c r="H1368" s="12"/>
      <c r="I1368" s="13">
        <v>0</v>
      </c>
      <c r="J1368" s="13">
        <v>0</v>
      </c>
      <c r="K1368" s="14" t="str">
        <f>HYPERLINK("http://twitter.com/download/android","Twitter for Android")</f>
        <v>Twitter for Android</v>
      </c>
      <c r="L1368" s="13">
        <v>160</v>
      </c>
      <c r="M1368" s="13">
        <v>402</v>
      </c>
      <c r="N1368" s="13">
        <v>2</v>
      </c>
      <c r="O1368" s="15"/>
      <c r="P1368" s="6">
        <v>42901.554143518515</v>
      </c>
      <c r="Q1368" s="17" t="s">
        <v>4934</v>
      </c>
      <c r="R1368" s="16" t="s">
        <v>4935</v>
      </c>
      <c r="S1368" s="12"/>
      <c r="T1368" s="12"/>
      <c r="U1368" s="10" t="str">
        <f>HYPERLINK("https://pbs.twimg.com/profile_images/880062816987828224/7aXzdogo.jpg","View")</f>
        <v>View</v>
      </c>
    </row>
    <row r="1369" spans="1:21" ht="20.399999999999999">
      <c r="A1369" s="6">
        <v>43424.016770833332</v>
      </c>
      <c r="B1369" s="7" t="str">
        <f>HYPERLINK("https://twitter.com/ancin1977","@ancin1977")</f>
        <v>@ancin1977</v>
      </c>
      <c r="C1369" s="8" t="s">
        <v>4936</v>
      </c>
      <c r="D1369" s="9" t="s">
        <v>4937</v>
      </c>
      <c r="E1369" s="10" t="str">
        <f>HYPERLINK("https://twitter.com/ancin1977/status/1064796527292547072","1064796527292547072")</f>
        <v>1064796527292547072</v>
      </c>
      <c r="F1369" s="12"/>
      <c r="G1369" s="12"/>
      <c r="H1369" s="12"/>
      <c r="I1369" s="13">
        <v>0</v>
      </c>
      <c r="J1369" s="13">
        <v>0</v>
      </c>
      <c r="K1369" s="14" t="str">
        <f t="shared" ref="K1369:K1373" si="247">HYPERLINK("http://twitter.com/download/iphone","Twitter for iPhone")</f>
        <v>Twitter for iPhone</v>
      </c>
      <c r="L1369" s="13">
        <v>373</v>
      </c>
      <c r="M1369" s="13">
        <v>0</v>
      </c>
      <c r="N1369" s="13">
        <v>0</v>
      </c>
      <c r="O1369" s="15"/>
      <c r="P1369" s="6">
        <v>43030.697488425925</v>
      </c>
      <c r="Q1369" s="17" t="s">
        <v>4938</v>
      </c>
      <c r="R1369" s="16" t="s">
        <v>4939</v>
      </c>
      <c r="S1369" s="11" t="s">
        <v>4940</v>
      </c>
      <c r="T1369" s="12"/>
      <c r="U1369" s="10" t="str">
        <f>HYPERLINK("https://pbs.twimg.com/profile_images/1056627535843418113/5Cb805zY.jpg","View")</f>
        <v>View</v>
      </c>
    </row>
    <row r="1370" spans="1:21" ht="51">
      <c r="A1370" s="6">
        <v>43424.015590277777</v>
      </c>
      <c r="B1370" s="7" t="str">
        <f>HYPERLINK("https://twitter.com/PaulaBardavio","@PaulaBardavio")</f>
        <v>@PaulaBardavio</v>
      </c>
      <c r="C1370" s="8" t="s">
        <v>4941</v>
      </c>
      <c r="D1370" s="9" t="s">
        <v>4942</v>
      </c>
      <c r="E1370" s="10" t="str">
        <f>HYPERLINK("https://twitter.com/PaulaBardavio/status/1064796099792314369","1064796099792314369")</f>
        <v>1064796099792314369</v>
      </c>
      <c r="F1370" s="11" t="s">
        <v>4943</v>
      </c>
      <c r="G1370" s="11" t="s">
        <v>4260</v>
      </c>
      <c r="H1370" s="12"/>
      <c r="I1370" s="13">
        <v>0</v>
      </c>
      <c r="J1370" s="13">
        <v>2</v>
      </c>
      <c r="K1370" s="14" t="str">
        <f t="shared" si="247"/>
        <v>Twitter for iPhone</v>
      </c>
      <c r="L1370" s="13">
        <v>665</v>
      </c>
      <c r="M1370" s="13">
        <v>622</v>
      </c>
      <c r="N1370" s="13">
        <v>37</v>
      </c>
      <c r="O1370" s="15"/>
      <c r="P1370" s="6">
        <v>40805.378680555557</v>
      </c>
      <c r="Q1370" s="17" t="s">
        <v>4944</v>
      </c>
      <c r="R1370" s="16" t="s">
        <v>4945</v>
      </c>
      <c r="S1370" s="12"/>
      <c r="T1370" s="12"/>
      <c r="U1370" s="10" t="str">
        <f>HYPERLINK("https://pbs.twimg.com/profile_images/1061712268570828801/vw7Xi4tb.jpg","View")</f>
        <v>View</v>
      </c>
    </row>
    <row r="1371" spans="1:21" ht="20.399999999999999">
      <c r="A1371" s="6">
        <v>43424.014745370368</v>
      </c>
      <c r="B1371" s="7" t="str">
        <f>HYPERLINK("https://twitter.com/PuchiManas","@PuchiManas")</f>
        <v>@PuchiManas</v>
      </c>
      <c r="C1371" s="8" t="s">
        <v>4946</v>
      </c>
      <c r="D1371" s="9" t="s">
        <v>4947</v>
      </c>
      <c r="E1371" s="10" t="str">
        <f>HYPERLINK("https://twitter.com/PuchiManas/status/1064795791607427072","1064795791607427072")</f>
        <v>1064795791607427072</v>
      </c>
      <c r="F1371" s="11" t="s">
        <v>4948</v>
      </c>
      <c r="G1371" s="12"/>
      <c r="H1371" s="12"/>
      <c r="I1371" s="13">
        <v>1</v>
      </c>
      <c r="J1371" s="13">
        <v>0</v>
      </c>
      <c r="K1371" s="14" t="str">
        <f t="shared" si="247"/>
        <v>Twitter for iPhone</v>
      </c>
      <c r="L1371" s="13">
        <v>336</v>
      </c>
      <c r="M1371" s="13">
        <v>836</v>
      </c>
      <c r="N1371" s="13">
        <v>26</v>
      </c>
      <c r="O1371" s="15"/>
      <c r="P1371" s="6">
        <v>40930.391527777778</v>
      </c>
      <c r="Q1371" s="12"/>
      <c r="R1371" s="16" t="s">
        <v>4949</v>
      </c>
      <c r="S1371" s="12"/>
      <c r="T1371" s="12"/>
      <c r="U1371" s="10" t="str">
        <f>HYPERLINK("https://pbs.twimg.com/profile_images/521546563240603648/BDdtSbp1.jpeg","View")</f>
        <v>View</v>
      </c>
    </row>
    <row r="1372" spans="1:21" ht="40.799999999999997">
      <c r="A1372" s="6">
        <v>43424.013958333337</v>
      </c>
      <c r="B1372" s="7" t="str">
        <f>HYPERLINK("https://twitter.com/VOX_Albacete","@VOX_Albacete")</f>
        <v>@VOX_Albacete</v>
      </c>
      <c r="C1372" s="8" t="s">
        <v>4950</v>
      </c>
      <c r="D1372" s="9" t="s">
        <v>4951</v>
      </c>
      <c r="E1372" s="10" t="str">
        <f>HYPERLINK("https://twitter.com/VOX_Albacete/status/1064795506763804672","1064795506763804672")</f>
        <v>1064795506763804672</v>
      </c>
      <c r="F1372" s="11" t="s">
        <v>4952</v>
      </c>
      <c r="G1372" s="11" t="s">
        <v>4953</v>
      </c>
      <c r="H1372" s="12"/>
      <c r="I1372" s="13">
        <v>0</v>
      </c>
      <c r="J1372" s="13">
        <v>1</v>
      </c>
      <c r="K1372" s="14" t="str">
        <f t="shared" si="247"/>
        <v>Twitter for iPhone</v>
      </c>
      <c r="L1372" s="13">
        <v>2205</v>
      </c>
      <c r="M1372" s="13">
        <v>1852</v>
      </c>
      <c r="N1372" s="13">
        <v>19</v>
      </c>
      <c r="O1372" s="15"/>
      <c r="P1372" s="6">
        <v>41706.624259259261</v>
      </c>
      <c r="Q1372" s="17" t="s">
        <v>4954</v>
      </c>
      <c r="R1372" s="16" t="s">
        <v>4955</v>
      </c>
      <c r="S1372" s="11" t="s">
        <v>4956</v>
      </c>
      <c r="T1372" s="12"/>
      <c r="U1372" s="10" t="str">
        <f>HYPERLINK("https://pbs.twimg.com/profile_images/772272127798087680/5T0wLc67.jpg","View")</f>
        <v>View</v>
      </c>
    </row>
    <row r="1373" spans="1:21" ht="51">
      <c r="A1373" s="6">
        <v>43424.011770833335</v>
      </c>
      <c r="B1373" s="7" t="str">
        <f>HYPERLINK("https://twitter.com/RamonMLGA","@RamonMLGA")</f>
        <v>@RamonMLGA</v>
      </c>
      <c r="C1373" s="8" t="s">
        <v>831</v>
      </c>
      <c r="D1373" s="9" t="s">
        <v>4957</v>
      </c>
      <c r="E1373" s="10" t="str">
        <f>HYPERLINK("https://twitter.com/RamonMLGA/status/1064794714413703168","1064794714413703168")</f>
        <v>1064794714413703168</v>
      </c>
      <c r="F1373" s="11" t="s">
        <v>4958</v>
      </c>
      <c r="G1373" s="12"/>
      <c r="H1373" s="12"/>
      <c r="I1373" s="13">
        <v>12</v>
      </c>
      <c r="J1373" s="13">
        <v>7</v>
      </c>
      <c r="K1373" s="14" t="str">
        <f t="shared" si="247"/>
        <v>Twitter for iPhone</v>
      </c>
      <c r="L1373" s="13">
        <v>9937</v>
      </c>
      <c r="M1373" s="13">
        <v>5134</v>
      </c>
      <c r="N1373" s="13">
        <v>82</v>
      </c>
      <c r="O1373" s="15"/>
      <c r="P1373" s="6">
        <v>41993.259409722217</v>
      </c>
      <c r="Q1373" s="17" t="s">
        <v>506</v>
      </c>
      <c r="R1373" s="16" t="s">
        <v>832</v>
      </c>
      <c r="S1373" s="11" t="s">
        <v>833</v>
      </c>
      <c r="T1373" s="12"/>
      <c r="U1373" s="10" t="str">
        <f>HYPERLINK("https://pbs.twimg.com/profile_images/1064883832757866496/YwnWCi4f.jpg","View")</f>
        <v>View</v>
      </c>
    </row>
    <row r="1374" spans="1:21" ht="30.6">
      <c r="A1374" s="6">
        <v>43424.010694444441</v>
      </c>
      <c r="B1374" s="7" t="str">
        <f>HYPERLINK("https://twitter.com/amayitaaa","@amayitaaa")</f>
        <v>@amayitaaa</v>
      </c>
      <c r="C1374" s="8" t="s">
        <v>4959</v>
      </c>
      <c r="D1374" s="9" t="s">
        <v>4960</v>
      </c>
      <c r="E1374" s="10" t="str">
        <f>HYPERLINK("https://twitter.com/amayitaaa/status/1064794325266001920","1064794325266001920")</f>
        <v>1064794325266001920</v>
      </c>
      <c r="F1374" s="11" t="s">
        <v>4961</v>
      </c>
      <c r="G1374" s="12"/>
      <c r="H1374" s="12"/>
      <c r="I1374" s="13">
        <v>0</v>
      </c>
      <c r="J1374" s="13">
        <v>1</v>
      </c>
      <c r="K1374" s="14" t="str">
        <f t="shared" ref="K1374:K1376" si="248">HYPERLINK("http://twitter.com/download/android","Twitter for Android")</f>
        <v>Twitter for Android</v>
      </c>
      <c r="L1374" s="13">
        <v>130</v>
      </c>
      <c r="M1374" s="13">
        <v>330</v>
      </c>
      <c r="N1374" s="13">
        <v>2</v>
      </c>
      <c r="O1374" s="15"/>
      <c r="P1374" s="6">
        <v>39899.193842592591</v>
      </c>
      <c r="Q1374" s="12"/>
      <c r="R1374" s="16" t="s">
        <v>4962</v>
      </c>
      <c r="S1374" s="12"/>
      <c r="T1374" s="12"/>
      <c r="U1374" s="10" t="str">
        <f>HYPERLINK("https://pbs.twimg.com/profile_images/228284943/yo____.jpg","View")</f>
        <v>View</v>
      </c>
    </row>
    <row r="1375" spans="1:21" ht="51">
      <c r="A1375" s="6">
        <v>43424.005949074075</v>
      </c>
      <c r="B1375" s="7" t="str">
        <f>HYPERLINK("https://twitter.com/ggnacho","@ggnacho")</f>
        <v>@ggnacho</v>
      </c>
      <c r="C1375" s="8" t="s">
        <v>4963</v>
      </c>
      <c r="D1375" s="9" t="s">
        <v>4964</v>
      </c>
      <c r="E1375" s="10" t="str">
        <f>HYPERLINK("https://twitter.com/ggnacho/status/1064792606129954816","1064792606129954816")</f>
        <v>1064792606129954816</v>
      </c>
      <c r="F1375" s="11" t="s">
        <v>4965</v>
      </c>
      <c r="G1375" s="12"/>
      <c r="H1375" s="12"/>
      <c r="I1375" s="13">
        <v>0</v>
      </c>
      <c r="J1375" s="13">
        <v>0</v>
      </c>
      <c r="K1375" s="14" t="str">
        <f t="shared" si="248"/>
        <v>Twitter for Android</v>
      </c>
      <c r="L1375" s="13">
        <v>515</v>
      </c>
      <c r="M1375" s="13">
        <v>404</v>
      </c>
      <c r="N1375" s="13">
        <v>11</v>
      </c>
      <c r="O1375" s="15"/>
      <c r="P1375" s="6">
        <v>40497.320694444446</v>
      </c>
      <c r="Q1375" s="17" t="s">
        <v>506</v>
      </c>
      <c r="R1375" s="16" t="s">
        <v>4966</v>
      </c>
      <c r="S1375" s="12"/>
      <c r="T1375" s="12"/>
      <c r="U1375" s="10" t="str">
        <f>HYPERLINK("https://pbs.twimg.com/profile_images/875401247548993536/D_4vYoPn.jpg","View")</f>
        <v>View</v>
      </c>
    </row>
    <row r="1376" spans="1:21" ht="51">
      <c r="A1376" s="6">
        <v>43424.003437499996</v>
      </c>
      <c r="B1376" s="7" t="str">
        <f>HYPERLINK("https://twitter.com/antojimeno","@antojimeno")</f>
        <v>@antojimeno</v>
      </c>
      <c r="C1376" s="8" t="s">
        <v>3594</v>
      </c>
      <c r="D1376" s="9" t="s">
        <v>4967</v>
      </c>
      <c r="E1376" s="10" t="str">
        <f>HYPERLINK("https://twitter.com/antojimeno/status/1064791694913216514","1064791694913216514")</f>
        <v>1064791694913216514</v>
      </c>
      <c r="F1376" s="12"/>
      <c r="G1376" s="12"/>
      <c r="H1376" s="12"/>
      <c r="I1376" s="13">
        <v>4</v>
      </c>
      <c r="J1376" s="13">
        <v>6</v>
      </c>
      <c r="K1376" s="14" t="str">
        <f t="shared" si="248"/>
        <v>Twitter for Android</v>
      </c>
      <c r="L1376" s="13">
        <v>146</v>
      </c>
      <c r="M1376" s="13">
        <v>227</v>
      </c>
      <c r="N1376" s="13">
        <v>0</v>
      </c>
      <c r="O1376" s="15"/>
      <c r="P1376" s="6">
        <v>41224.219189814816</v>
      </c>
      <c r="Q1376" s="17" t="s">
        <v>638</v>
      </c>
      <c r="R1376" s="16" t="s">
        <v>3596</v>
      </c>
      <c r="S1376" s="11" t="s">
        <v>3597</v>
      </c>
      <c r="T1376" s="12"/>
      <c r="U1376" s="10" t="str">
        <f>HYPERLINK("https://pbs.twimg.com/profile_images/913697988874309632/IaH1oQIZ.jpg","View")</f>
        <v>View</v>
      </c>
    </row>
    <row r="1377" spans="1:21" ht="61.2">
      <c r="A1377" s="6">
        <v>43424.00200231481</v>
      </c>
      <c r="B1377" s="7" t="str">
        <f>HYPERLINK("https://twitter.com/pasionxespana","@pasionxespana")</f>
        <v>@pasionxespana</v>
      </c>
      <c r="C1377" s="8" t="s">
        <v>906</v>
      </c>
      <c r="D1377" s="9" t="s">
        <v>4968</v>
      </c>
      <c r="E1377" s="10" t="str">
        <f>HYPERLINK("https://twitter.com/pasionxespana/status/1064791175876567040","1064791175876567040")</f>
        <v>1064791175876567040</v>
      </c>
      <c r="F1377" s="12"/>
      <c r="G1377" s="11" t="s">
        <v>4969</v>
      </c>
      <c r="H1377" s="12"/>
      <c r="I1377" s="13">
        <v>0</v>
      </c>
      <c r="J1377" s="13">
        <v>0</v>
      </c>
      <c r="K1377" s="14" t="str">
        <f>HYPERLINK("https://ifttt.com","IFTTT")</f>
        <v>IFTTT</v>
      </c>
      <c r="L1377" s="13">
        <v>1826</v>
      </c>
      <c r="M1377" s="13">
        <v>3028</v>
      </c>
      <c r="N1377" s="13">
        <v>40</v>
      </c>
      <c r="O1377" s="15"/>
      <c r="P1377" s="6">
        <v>42607.254606481481</v>
      </c>
      <c r="Q1377" s="12"/>
      <c r="R1377" s="16" t="s">
        <v>911</v>
      </c>
      <c r="S1377" s="11" t="s">
        <v>912</v>
      </c>
      <c r="T1377" s="12"/>
      <c r="U1377" s="10" t="str">
        <f>HYPERLINK("https://pbs.twimg.com/profile_images/903227976258551808/C6YEfbP_.jpg","View")</f>
        <v>View</v>
      </c>
    </row>
    <row r="1378" spans="1:21" ht="51">
      <c r="A1378" s="6">
        <v>43424.001400462963</v>
      </c>
      <c r="B1378" s="7" t="str">
        <f>HYPERLINK("https://twitter.com/VidalQuadras","@VidalQuadras")</f>
        <v>@VidalQuadras</v>
      </c>
      <c r="C1378" s="8" t="s">
        <v>4970</v>
      </c>
      <c r="D1378" s="9" t="s">
        <v>4971</v>
      </c>
      <c r="E1378" s="10" t="str">
        <f>HYPERLINK("https://twitter.com/VidalQuadras/status/1064790956166258688","1064790956166258688")</f>
        <v>1064790956166258688</v>
      </c>
      <c r="F1378" s="12"/>
      <c r="G1378" s="12"/>
      <c r="H1378" s="12"/>
      <c r="I1378" s="13">
        <v>402</v>
      </c>
      <c r="J1378" s="13">
        <v>934</v>
      </c>
      <c r="K1378" s="14" t="str">
        <f>HYPERLINK("http://twitter.com/download/iphone","Twitter for iPhone")</f>
        <v>Twitter for iPhone</v>
      </c>
      <c r="L1378" s="13">
        <v>65846</v>
      </c>
      <c r="M1378" s="13">
        <v>731</v>
      </c>
      <c r="N1378" s="13">
        <v>624</v>
      </c>
      <c r="O1378" s="15"/>
      <c r="P1378" s="6">
        <v>40372.11209490741</v>
      </c>
      <c r="Q1378" s="17" t="s">
        <v>143</v>
      </c>
      <c r="R1378" s="16" t="s">
        <v>4972</v>
      </c>
      <c r="S1378" s="12"/>
      <c r="T1378" s="12"/>
      <c r="U1378" s="10" t="str">
        <f>HYPERLINK("https://pbs.twimg.com/profile_images/456353136148377601/j9IsCOnt.jpeg","View")</f>
        <v>View</v>
      </c>
    </row>
    <row r="1379" spans="1:21" ht="13.2">
      <c r="A1379" s="6">
        <v>43424.000983796301</v>
      </c>
      <c r="B1379" s="7" t="str">
        <f>HYPERLINK("https://twitter.com/juanpetooloko","@juanpetooloko")</f>
        <v>@juanpetooloko</v>
      </c>
      <c r="C1379" s="8" t="s">
        <v>4973</v>
      </c>
      <c r="D1379" s="9" t="s">
        <v>4974</v>
      </c>
      <c r="E1379" s="10" t="str">
        <f>HYPERLINK("https://twitter.com/juanpetooloko/status/1064790806341537792","1064790806341537792")</f>
        <v>1064790806341537792</v>
      </c>
      <c r="F1379" s="12"/>
      <c r="G1379" s="12"/>
      <c r="H1379" s="12"/>
      <c r="I1379" s="13">
        <v>0</v>
      </c>
      <c r="J1379" s="13">
        <v>3</v>
      </c>
      <c r="K1379" s="14" t="str">
        <f>HYPERLINK("http://twitter.com","Twitter Web Client")</f>
        <v>Twitter Web Client</v>
      </c>
      <c r="L1379" s="13">
        <v>2713</v>
      </c>
      <c r="M1379" s="13">
        <v>439</v>
      </c>
      <c r="N1379" s="13">
        <v>41</v>
      </c>
      <c r="O1379" s="15"/>
      <c r="P1379" s="6">
        <v>42028.628287037034</v>
      </c>
      <c r="Q1379" s="17" t="s">
        <v>4975</v>
      </c>
      <c r="R1379" s="16" t="s">
        <v>4976</v>
      </c>
      <c r="S1379" s="12"/>
      <c r="T1379" s="12"/>
      <c r="U1379" s="10" t="str">
        <f>HYPERLINK("https://pbs.twimg.com/profile_images/963897357942312960/zNzaqgm4.jpg","View")</f>
        <v>View</v>
      </c>
    </row>
    <row r="1380" spans="1:21" ht="30.6">
      <c r="A1380" s="6">
        <v>43424.000717592593</v>
      </c>
      <c r="B1380" s="7" t="str">
        <f>HYPERLINK("https://twitter.com/jordipsalvador","@jordipsalvador")</f>
        <v>@jordipsalvador</v>
      </c>
      <c r="C1380" s="8" t="s">
        <v>2694</v>
      </c>
      <c r="D1380" s="9" t="s">
        <v>4978</v>
      </c>
      <c r="E1380" s="10" t="str">
        <f>HYPERLINK("https://twitter.com/jordipsalvador/status/1064790708744265728","1064790708744265728")</f>
        <v>1064790708744265728</v>
      </c>
      <c r="F1380" s="11" t="s">
        <v>4979</v>
      </c>
      <c r="G1380" s="12"/>
      <c r="H1380" s="12"/>
      <c r="I1380" s="13">
        <v>0</v>
      </c>
      <c r="J1380" s="13">
        <v>0</v>
      </c>
      <c r="K1380" s="14" t="str">
        <f>HYPERLINK("https://ifttt.com","IFTTT")</f>
        <v>IFTTT</v>
      </c>
      <c r="L1380" s="13">
        <v>1069</v>
      </c>
      <c r="M1380" s="13">
        <v>2238</v>
      </c>
      <c r="N1380" s="13">
        <v>79</v>
      </c>
      <c r="O1380" s="15"/>
      <c r="P1380" s="6">
        <v>40679.434872685189</v>
      </c>
      <c r="Q1380" s="17" t="s">
        <v>1325</v>
      </c>
      <c r="R1380" s="16" t="s">
        <v>2697</v>
      </c>
      <c r="S1380" s="11" t="s">
        <v>2698</v>
      </c>
      <c r="T1380" s="12"/>
      <c r="U1380" s="10" t="str">
        <f>HYPERLINK("https://pbs.twimg.com/profile_images/1041429790044180480/E8YoBssK.jpg","View")</f>
        <v>View</v>
      </c>
    </row>
    <row r="1381" spans="1:21" ht="40.799999999999997">
      <c r="A1381" s="6">
        <v>43424.000219907408</v>
      </c>
      <c r="B1381" s="7" t="str">
        <f>HYPERLINK("https://twitter.com/e24diari","@e24diari")</f>
        <v>@e24diari</v>
      </c>
      <c r="C1381" s="8" t="s">
        <v>4980</v>
      </c>
      <c r="D1381" s="9" t="s">
        <v>4981</v>
      </c>
      <c r="E1381" s="10" t="str">
        <f>HYPERLINK("https://twitter.com/e24diari/status/1064790528066314240","1064790528066314240")</f>
        <v>1064790528066314240</v>
      </c>
      <c r="F1381" s="11" t="s">
        <v>4982</v>
      </c>
      <c r="G1381" s="12"/>
      <c r="H1381" s="12"/>
      <c r="I1381" s="13">
        <v>1</v>
      </c>
      <c r="J1381" s="13">
        <v>1</v>
      </c>
      <c r="K1381" s="14" t="str">
        <f>HYPERLINK("https://www.hootsuite.com","Hootsuite Inc.")</f>
        <v>Hootsuite Inc.</v>
      </c>
      <c r="L1381" s="13">
        <v>487</v>
      </c>
      <c r="M1381" s="13">
        <v>1536</v>
      </c>
      <c r="N1381" s="13">
        <v>12</v>
      </c>
      <c r="O1381" s="15"/>
      <c r="P1381" s="6">
        <v>42808.075335648144</v>
      </c>
      <c r="Q1381" s="17" t="s">
        <v>340</v>
      </c>
      <c r="R1381" s="16" t="s">
        <v>4983</v>
      </c>
      <c r="S1381" s="11" t="s">
        <v>4984</v>
      </c>
      <c r="T1381" s="12"/>
      <c r="U1381" s="10" t="str">
        <f>HYPERLINK("https://pbs.twimg.com/profile_images/842421822238932992/qe_G1TOM.jpg","View")</f>
        <v>View</v>
      </c>
    </row>
    <row r="1382" spans="1:21" ht="20.399999999999999">
      <c r="A1382" s="6">
        <v>43424</v>
      </c>
      <c r="B1382" s="7" t="str">
        <f>HYPERLINK("https://twitter.com/La_SER","@La_SER")</f>
        <v>@La_SER</v>
      </c>
      <c r="C1382" s="8" t="s">
        <v>2170</v>
      </c>
      <c r="D1382" s="9" t="s">
        <v>4985</v>
      </c>
      <c r="E1382" s="10" t="str">
        <f>HYPERLINK("https://twitter.com/La_SER/status/1064790448839909378","1064790448839909378")</f>
        <v>1064790448839909378</v>
      </c>
      <c r="F1382" s="11" t="s">
        <v>4986</v>
      </c>
      <c r="G1382" s="12"/>
      <c r="H1382" s="12"/>
      <c r="I1382" s="13">
        <v>8</v>
      </c>
      <c r="J1382" s="13">
        <v>7</v>
      </c>
      <c r="K1382" s="14" t="str">
        <f>HYPERLINK("https://about.twitter.com/products/tweetdeck","TweetDeck")</f>
        <v>TweetDeck</v>
      </c>
      <c r="L1382" s="13">
        <v>1152495</v>
      </c>
      <c r="M1382" s="13">
        <v>778</v>
      </c>
      <c r="N1382" s="13">
        <v>10623</v>
      </c>
      <c r="O1382" s="19" t="s">
        <v>74</v>
      </c>
      <c r="P1382" s="6">
        <v>39965.379942129628</v>
      </c>
      <c r="Q1382" s="12"/>
      <c r="R1382" s="16" t="s">
        <v>2173</v>
      </c>
      <c r="S1382" s="11" t="s">
        <v>2174</v>
      </c>
      <c r="T1382" s="12"/>
      <c r="U1382" s="10" t="str">
        <f>HYPERLINK("https://pbs.twimg.com/profile_images/1039929065774481409/zsYMDMZj.jpg","View")</f>
        <v>View</v>
      </c>
    </row>
    <row r="1383" spans="1:21" ht="13.2">
      <c r="A1383" s="6">
        <v>43423.999490740738</v>
      </c>
      <c r="B1383" s="7" t="str">
        <f>HYPERLINK("https://twitter.com/castellanapura","@castellanapura")</f>
        <v>@castellanapura</v>
      </c>
      <c r="C1383" s="8" t="s">
        <v>1735</v>
      </c>
      <c r="D1383" s="9" t="s">
        <v>4987</v>
      </c>
      <c r="E1383" s="10" t="str">
        <f>HYPERLINK("https://twitter.com/castellanapura/status/1064790265347653632","1064790265347653632")</f>
        <v>1064790265347653632</v>
      </c>
      <c r="F1383" s="11" t="s">
        <v>4988</v>
      </c>
      <c r="G1383" s="12"/>
      <c r="H1383" s="12"/>
      <c r="I1383" s="13">
        <v>0</v>
      </c>
      <c r="J1383" s="13">
        <v>0</v>
      </c>
      <c r="K1383" s="14" t="str">
        <f t="shared" ref="K1383:K1384" si="249">HYPERLINK("http://twitter.com","Twitter Web Client")</f>
        <v>Twitter Web Client</v>
      </c>
      <c r="L1383" s="13">
        <v>2271</v>
      </c>
      <c r="M1383" s="13">
        <v>3970</v>
      </c>
      <c r="N1383" s="13">
        <v>98</v>
      </c>
      <c r="O1383" s="15"/>
      <c r="P1383" s="6">
        <v>41264.145324074074</v>
      </c>
      <c r="Q1383" s="12"/>
      <c r="R1383" s="16" t="s">
        <v>1736</v>
      </c>
      <c r="S1383" s="12"/>
      <c r="T1383" s="12"/>
      <c r="U1383" s="10" t="str">
        <f>HYPERLINK("https://pbs.twimg.com/profile_images/999929581233754112/1NA6LUp0.jpg","View")</f>
        <v>View</v>
      </c>
    </row>
    <row r="1384" spans="1:21" ht="40.799999999999997">
      <c r="A1384" s="6">
        <v>43423.99936342593</v>
      </c>
      <c r="B1384" s="7" t="str">
        <f>HYPERLINK("https://twitter.com/8_danii","@8_danii")</f>
        <v>@8_danii</v>
      </c>
      <c r="C1384" s="8" t="s">
        <v>4989</v>
      </c>
      <c r="D1384" s="9" t="s">
        <v>4990</v>
      </c>
      <c r="E1384" s="10" t="str">
        <f>HYPERLINK("https://twitter.com/8_danii/status/1064790218853765126","1064790218853765126")</f>
        <v>1064790218853765126</v>
      </c>
      <c r="F1384" s="12"/>
      <c r="G1384" s="12"/>
      <c r="H1384" s="12"/>
      <c r="I1384" s="13">
        <v>1</v>
      </c>
      <c r="J1384" s="13">
        <v>0</v>
      </c>
      <c r="K1384" s="14" t="str">
        <f t="shared" si="249"/>
        <v>Twitter Web Client</v>
      </c>
      <c r="L1384" s="13">
        <v>320</v>
      </c>
      <c r="M1384" s="13">
        <v>800</v>
      </c>
      <c r="N1384" s="13">
        <v>7</v>
      </c>
      <c r="O1384" s="15"/>
      <c r="P1384" s="6">
        <v>40926.424988425926</v>
      </c>
      <c r="Q1384" s="17" t="s">
        <v>76</v>
      </c>
      <c r="R1384" s="16" t="s">
        <v>4991</v>
      </c>
      <c r="S1384" s="12"/>
      <c r="T1384" s="12"/>
      <c r="U1384" s="10" t="str">
        <f>HYPERLINK("https://pbs.twimg.com/profile_images/857844730515918848/NWY9oXYi.jpg","View")</f>
        <v>View</v>
      </c>
    </row>
    <row r="1385" spans="1:21" ht="51">
      <c r="A1385" s="6">
        <v>43423.998865740738</v>
      </c>
      <c r="B1385" s="7" t="str">
        <f>HYPERLINK("https://twitter.com/pepito_garca","@pepito_garca")</f>
        <v>@pepito_garca</v>
      </c>
      <c r="C1385" s="8" t="s">
        <v>4992</v>
      </c>
      <c r="D1385" s="9" t="s">
        <v>4993</v>
      </c>
      <c r="E1385" s="10" t="str">
        <f>HYPERLINK("https://twitter.com/pepito_garca/status/1064790036586082304","1064790036586082304")</f>
        <v>1064790036586082304</v>
      </c>
      <c r="F1385" s="17" t="s">
        <v>4994</v>
      </c>
      <c r="G1385" s="12"/>
      <c r="H1385" s="12"/>
      <c r="I1385" s="13">
        <v>0</v>
      </c>
      <c r="J1385" s="13">
        <v>2</v>
      </c>
      <c r="K1385" s="14" t="str">
        <f>HYPERLINK("http://twitter.com/download/iphone","Twitter for iPhone")</f>
        <v>Twitter for iPhone</v>
      </c>
      <c r="L1385" s="13">
        <v>5690</v>
      </c>
      <c r="M1385" s="13">
        <v>1888</v>
      </c>
      <c r="N1385" s="13">
        <v>92</v>
      </c>
      <c r="O1385" s="15"/>
      <c r="P1385" s="6">
        <v>41180.588576388887</v>
      </c>
      <c r="Q1385" s="17" t="s">
        <v>4995</v>
      </c>
      <c r="R1385" s="16" t="s">
        <v>4996</v>
      </c>
      <c r="S1385" s="12"/>
      <c r="T1385" s="12"/>
      <c r="U1385" s="10" t="str">
        <f>HYPERLINK("https://pbs.twimg.com/profile_images/378800000374069898/2394e9f16ede66ef45c832ff2db9d406.jpeg","View")</f>
        <v>View</v>
      </c>
    </row>
    <row r="1386" spans="1:21" ht="20.399999999999999">
      <c r="A1386" s="6">
        <v>43423.998171296298</v>
      </c>
      <c r="B1386" s="7" t="str">
        <f>HYPERLINK("https://twitter.com/castellanapura","@castellanapura")</f>
        <v>@castellanapura</v>
      </c>
      <c r="C1386" s="8" t="s">
        <v>1735</v>
      </c>
      <c r="D1386" s="9" t="s">
        <v>4997</v>
      </c>
      <c r="E1386" s="10" t="str">
        <f>HYPERLINK("https://twitter.com/castellanapura/status/1064789787234713601","1064789787234713601")</f>
        <v>1064789787234713601</v>
      </c>
      <c r="F1386" s="11" t="s">
        <v>4998</v>
      </c>
      <c r="G1386" s="12"/>
      <c r="H1386" s="12"/>
      <c r="I1386" s="13">
        <v>0</v>
      </c>
      <c r="J1386" s="13">
        <v>0</v>
      </c>
      <c r="K1386" s="14" t="str">
        <f t="shared" ref="K1386:K1387" si="250">HYPERLINK("http://twitter.com","Twitter Web Client")</f>
        <v>Twitter Web Client</v>
      </c>
      <c r="L1386" s="13">
        <v>2271</v>
      </c>
      <c r="M1386" s="13">
        <v>3970</v>
      </c>
      <c r="N1386" s="13">
        <v>98</v>
      </c>
      <c r="O1386" s="15"/>
      <c r="P1386" s="6">
        <v>41264.145324074074</v>
      </c>
      <c r="Q1386" s="12"/>
      <c r="R1386" s="16" t="s">
        <v>1736</v>
      </c>
      <c r="S1386" s="12"/>
      <c r="T1386" s="12"/>
      <c r="U1386" s="10" t="str">
        <f>HYPERLINK("https://pbs.twimg.com/profile_images/999929581233754112/1NA6LUp0.jpg","View")</f>
        <v>View</v>
      </c>
    </row>
    <row r="1387" spans="1:21" ht="40.799999999999997">
      <c r="A1387" s="6">
        <v>43423.997812500005</v>
      </c>
      <c r="B1387" s="7" t="str">
        <f>HYPERLINK("https://twitter.com/Concepc98510820","@Concepc98510820")</f>
        <v>@Concepc98510820</v>
      </c>
      <c r="C1387" s="8" t="s">
        <v>4999</v>
      </c>
      <c r="D1387" s="9" t="s">
        <v>5000</v>
      </c>
      <c r="E1387" s="10" t="str">
        <f>HYPERLINK("https://twitter.com/Concepc98510820/status/1064789657278402560","1064789657278402560")</f>
        <v>1064789657278402560</v>
      </c>
      <c r="F1387" s="11" t="s">
        <v>4311</v>
      </c>
      <c r="G1387" s="12"/>
      <c r="H1387" s="12"/>
      <c r="I1387" s="13">
        <v>6</v>
      </c>
      <c r="J1387" s="13">
        <v>4</v>
      </c>
      <c r="K1387" s="14" t="str">
        <f t="shared" si="250"/>
        <v>Twitter Web Client</v>
      </c>
      <c r="L1387" s="13">
        <v>699</v>
      </c>
      <c r="M1387" s="13">
        <v>327</v>
      </c>
      <c r="N1387" s="13">
        <v>3</v>
      </c>
      <c r="O1387" s="15"/>
      <c r="P1387" s="6">
        <v>42999.991782407407</v>
      </c>
      <c r="Q1387" s="12"/>
      <c r="R1387" s="16" t="s">
        <v>5001</v>
      </c>
      <c r="S1387" s="12"/>
      <c r="T1387" s="12"/>
      <c r="U1387" s="10" t="str">
        <f>HYPERLINK("https://pbs.twimg.com/profile_images/1012999387205832704/BtuOFMFu.jpg","View")</f>
        <v>View</v>
      </c>
    </row>
    <row r="1388" spans="1:21" ht="40.799999999999997">
      <c r="A1388" s="6">
        <v>43423.996574074074</v>
      </c>
      <c r="B1388" s="7" t="str">
        <f>HYPERLINK("https://twitter.com/_ElObservador_","@_ElObservador_")</f>
        <v>@_ElObservador_</v>
      </c>
      <c r="C1388" s="8" t="s">
        <v>5002</v>
      </c>
      <c r="D1388" s="9" t="s">
        <v>5003</v>
      </c>
      <c r="E1388" s="10" t="str">
        <f>HYPERLINK("https://twitter.com/_ElObservador_/status/1064789208437583872","1064789208437583872")</f>
        <v>1064789208437583872</v>
      </c>
      <c r="F1388" s="11" t="s">
        <v>5004</v>
      </c>
      <c r="G1388" s="11" t="s">
        <v>4930</v>
      </c>
      <c r="H1388" s="12"/>
      <c r="I1388" s="13">
        <v>0</v>
      </c>
      <c r="J1388" s="13">
        <v>1</v>
      </c>
      <c r="K1388" s="14" t="str">
        <f>HYPERLINK("https://www.hootsuite.com","Hootsuite Inc.")</f>
        <v>Hootsuite Inc.</v>
      </c>
      <c r="L1388" s="13">
        <v>6570</v>
      </c>
      <c r="M1388" s="13">
        <v>3917</v>
      </c>
      <c r="N1388" s="13">
        <v>115</v>
      </c>
      <c r="O1388" s="15"/>
      <c r="P1388" s="6">
        <v>41023.240763888891</v>
      </c>
      <c r="Q1388" s="17" t="s">
        <v>268</v>
      </c>
      <c r="R1388" s="18"/>
      <c r="S1388" s="11" t="s">
        <v>4931</v>
      </c>
      <c r="T1388" s="12"/>
      <c r="U1388" s="10" t="str">
        <f>HYPERLINK("https://pbs.twimg.com/profile_images/2184032681/elob.jpg","View")</f>
        <v>View</v>
      </c>
    </row>
    <row r="1389" spans="1:21" ht="30.6">
      <c r="A1389" s="6">
        <v>43423.986747685187</v>
      </c>
      <c r="B1389" s="7" t="str">
        <f>HYPERLINK("https://twitter.com/RamonMLGA","@RamonMLGA")</f>
        <v>@RamonMLGA</v>
      </c>
      <c r="C1389" s="8" t="s">
        <v>831</v>
      </c>
      <c r="D1389" s="9" t="s">
        <v>5005</v>
      </c>
      <c r="E1389" s="10" t="str">
        <f>HYPERLINK("https://twitter.com/RamonMLGA/status/1064785644239708160","1064785644239708160")</f>
        <v>1064785644239708160</v>
      </c>
      <c r="F1389" s="11" t="s">
        <v>5006</v>
      </c>
      <c r="G1389" s="12"/>
      <c r="H1389" s="12"/>
      <c r="I1389" s="13">
        <v>16</v>
      </c>
      <c r="J1389" s="13">
        <v>9</v>
      </c>
      <c r="K1389" s="14" t="str">
        <f>HYPERLINK("http://twitter.com/download/iphone","Twitter for iPhone")</f>
        <v>Twitter for iPhone</v>
      </c>
      <c r="L1389" s="13">
        <v>9937</v>
      </c>
      <c r="M1389" s="13">
        <v>5134</v>
      </c>
      <c r="N1389" s="13">
        <v>82</v>
      </c>
      <c r="O1389" s="15"/>
      <c r="P1389" s="6">
        <v>41993.259409722217</v>
      </c>
      <c r="Q1389" s="17" t="s">
        <v>506</v>
      </c>
      <c r="R1389" s="16" t="s">
        <v>832</v>
      </c>
      <c r="S1389" s="11" t="s">
        <v>833</v>
      </c>
      <c r="T1389" s="12"/>
      <c r="U1389" s="10" t="str">
        <f>HYPERLINK("https://pbs.twimg.com/profile_images/1064883832757866496/YwnWCi4f.jpg","View")</f>
        <v>View</v>
      </c>
    </row>
    <row r="1390" spans="1:21" ht="51">
      <c r="A1390" s="6">
        <v>43423.986527777779</v>
      </c>
      <c r="B1390" s="7" t="str">
        <f>HYPERLINK("https://twitter.com/Mensajeenunabot","@Mensajeenunabot")</f>
        <v>@Mensajeenunabot</v>
      </c>
      <c r="C1390" s="8" t="s">
        <v>5007</v>
      </c>
      <c r="D1390" s="9" t="s">
        <v>5008</v>
      </c>
      <c r="E1390" s="10" t="str">
        <f>HYPERLINK("https://twitter.com/Mensajeenunabot/status/1064785568150757376","1064785568150757376")</f>
        <v>1064785568150757376</v>
      </c>
      <c r="F1390" s="11" t="s">
        <v>5009</v>
      </c>
      <c r="G1390" s="12"/>
      <c r="H1390" s="12"/>
      <c r="I1390" s="13">
        <v>0</v>
      </c>
      <c r="J1390" s="13">
        <v>0</v>
      </c>
      <c r="K1390" s="14" t="str">
        <f>HYPERLINK("https://mobile.twitter.com","Twitter Lite")</f>
        <v>Twitter Lite</v>
      </c>
      <c r="L1390" s="13">
        <v>321</v>
      </c>
      <c r="M1390" s="13">
        <v>361</v>
      </c>
      <c r="N1390" s="13">
        <v>7</v>
      </c>
      <c r="O1390" s="15"/>
      <c r="P1390" s="6">
        <v>40742.65761574074</v>
      </c>
      <c r="Q1390" s="17" t="s">
        <v>5010</v>
      </c>
      <c r="R1390" s="16" t="s">
        <v>5011</v>
      </c>
      <c r="S1390" s="12"/>
      <c r="T1390" s="12"/>
      <c r="U1390" s="10" t="str">
        <f>HYPERLINK("https://pbs.twimg.com/profile_images/809893603665448961/P0P7eaKN.jpg","View")</f>
        <v>View</v>
      </c>
    </row>
    <row r="1391" spans="1:21" ht="40.799999999999997">
      <c r="A1391" s="6">
        <v>43423.983159722222</v>
      </c>
      <c r="B1391" s="7" t="str">
        <f>HYPERLINK("https://twitter.com/jazarzalejos","@jazarzalejos")</f>
        <v>@jazarzalejos</v>
      </c>
      <c r="C1391" s="8" t="s">
        <v>5012</v>
      </c>
      <c r="D1391" s="9" t="s">
        <v>5013</v>
      </c>
      <c r="E1391" s="10" t="str">
        <f>HYPERLINK("https://twitter.com/jazarzalejos/status/1064784344080879616","1064784344080879616")</f>
        <v>1064784344080879616</v>
      </c>
      <c r="F1391" s="12"/>
      <c r="G1391" s="12"/>
      <c r="H1391" s="12"/>
      <c r="I1391" s="13">
        <v>381</v>
      </c>
      <c r="J1391" s="13">
        <v>702</v>
      </c>
      <c r="K1391" s="14" t="str">
        <f>HYPERLINK("http://twitter.com/#!/download/ipad","Twitter for iPad")</f>
        <v>Twitter for iPad</v>
      </c>
      <c r="L1391" s="13">
        <v>11821</v>
      </c>
      <c r="M1391" s="13">
        <v>431</v>
      </c>
      <c r="N1391" s="13">
        <v>239</v>
      </c>
      <c r="O1391" s="15"/>
      <c r="P1391" s="6">
        <v>41123.646724537037</v>
      </c>
      <c r="Q1391" s="12"/>
      <c r="R1391" s="16" t="s">
        <v>5014</v>
      </c>
      <c r="S1391" s="11" t="s">
        <v>5015</v>
      </c>
      <c r="T1391" s="12"/>
      <c r="U1391" s="10" t="str">
        <f>HYPERLINK("https://pbs.twimg.com/profile_images/600393658219810816/_Psy_APE.jpg","View")</f>
        <v>View</v>
      </c>
    </row>
    <row r="1392" spans="1:21" ht="61.2">
      <c r="A1392" s="6">
        <v>43423.981168981481</v>
      </c>
      <c r="B1392" s="7" t="str">
        <f>HYPERLINK("https://twitter.com/LaHungara77","@LaHungara77")</f>
        <v>@LaHungara77</v>
      </c>
      <c r="C1392" s="8" t="s">
        <v>4765</v>
      </c>
      <c r="D1392" s="9" t="s">
        <v>5016</v>
      </c>
      <c r="E1392" s="10" t="str">
        <f>HYPERLINK("https://twitter.com/LaHungara77/status/1064783624422268928","1064783624422268928")</f>
        <v>1064783624422268928</v>
      </c>
      <c r="F1392" s="11" t="s">
        <v>5017</v>
      </c>
      <c r="G1392" s="12"/>
      <c r="H1392" s="12"/>
      <c r="I1392" s="13">
        <v>0</v>
      </c>
      <c r="J1392" s="13">
        <v>0</v>
      </c>
      <c r="K1392" s="14" t="str">
        <f>HYPERLINK("http://twitter.com","Twitter Web Client")</f>
        <v>Twitter Web Client</v>
      </c>
      <c r="L1392" s="13">
        <v>160</v>
      </c>
      <c r="M1392" s="13">
        <v>425</v>
      </c>
      <c r="N1392" s="13">
        <v>1</v>
      </c>
      <c r="O1392" s="15"/>
      <c r="P1392" s="6">
        <v>43156.605729166666</v>
      </c>
      <c r="Q1392" s="12"/>
      <c r="R1392" s="18"/>
      <c r="S1392" s="12"/>
      <c r="T1392" s="12"/>
      <c r="U1392" s="10" t="str">
        <f>HYPERLINK("https://pbs.twimg.com/profile_images/1006939069010542598/h5qF9Zkn.jpg","View")</f>
        <v>View</v>
      </c>
    </row>
    <row r="1393" spans="1:21" ht="40.799999999999997">
      <c r="A1393" s="6">
        <v>43423.975636574076</v>
      </c>
      <c r="B1393" s="7" t="str">
        <f>HYPERLINK("https://twitter.com/Pablo_sdc","@Pablo_sdc")</f>
        <v>@Pablo_sdc</v>
      </c>
      <c r="C1393" s="8" t="s">
        <v>5018</v>
      </c>
      <c r="D1393" s="9" t="s">
        <v>5019</v>
      </c>
      <c r="E1393" s="10" t="str">
        <f>HYPERLINK("https://twitter.com/Pablo_sdc/status/1064781620689993728","1064781620689993728")</f>
        <v>1064781620689993728</v>
      </c>
      <c r="F1393" s="11" t="s">
        <v>5020</v>
      </c>
      <c r="G1393" s="12"/>
      <c r="H1393" s="12"/>
      <c r="I1393" s="13">
        <v>0</v>
      </c>
      <c r="J1393" s="13">
        <v>0</v>
      </c>
      <c r="K1393" s="14" t="str">
        <f t="shared" ref="K1393:K1394" si="251">HYPERLINK("http://twitter.com/#!/download/ipad","Twitter for iPad")</f>
        <v>Twitter for iPad</v>
      </c>
      <c r="L1393" s="13">
        <v>623</v>
      </c>
      <c r="M1393" s="13">
        <v>2174</v>
      </c>
      <c r="N1393" s="13">
        <v>34</v>
      </c>
      <c r="O1393" s="15"/>
      <c r="P1393" s="6">
        <v>40249.790833333333</v>
      </c>
      <c r="Q1393" s="17" t="s">
        <v>143</v>
      </c>
      <c r="R1393" s="16" t="s">
        <v>5021</v>
      </c>
      <c r="S1393" s="11" t="s">
        <v>5022</v>
      </c>
      <c r="T1393" s="12"/>
      <c r="U1393" s="10" t="str">
        <f>HYPERLINK("https://pbs.twimg.com/profile_images/1050103439416578049/1-ImHESD.jpg","View")</f>
        <v>View</v>
      </c>
    </row>
    <row r="1394" spans="1:21" ht="30.6">
      <c r="A1394" s="6">
        <v>43423.967199074075</v>
      </c>
      <c r="B1394" s="7" t="str">
        <f>HYPERLINK("https://twitter.com/ancin1977","@ancin1977")</f>
        <v>@ancin1977</v>
      </c>
      <c r="C1394" s="8" t="s">
        <v>4936</v>
      </c>
      <c r="D1394" s="9" t="s">
        <v>5023</v>
      </c>
      <c r="E1394" s="10" t="str">
        <f>HYPERLINK("https://twitter.com/ancin1977/status/1064778560274161667","1064778560274161667")</f>
        <v>1064778560274161667</v>
      </c>
      <c r="F1394" s="12"/>
      <c r="G1394" s="12"/>
      <c r="H1394" s="12"/>
      <c r="I1394" s="13">
        <v>0</v>
      </c>
      <c r="J1394" s="13">
        <v>0</v>
      </c>
      <c r="K1394" s="14" t="str">
        <f t="shared" si="251"/>
        <v>Twitter for iPad</v>
      </c>
      <c r="L1394" s="13">
        <v>373</v>
      </c>
      <c r="M1394" s="13">
        <v>0</v>
      </c>
      <c r="N1394" s="13">
        <v>0</v>
      </c>
      <c r="O1394" s="15"/>
      <c r="P1394" s="6">
        <v>43030.697488425925</v>
      </c>
      <c r="Q1394" s="17" t="s">
        <v>4938</v>
      </c>
      <c r="R1394" s="16" t="s">
        <v>4939</v>
      </c>
      <c r="S1394" s="11" t="s">
        <v>4940</v>
      </c>
      <c r="T1394" s="12"/>
      <c r="U1394" s="10" t="str">
        <f>HYPERLINK("https://pbs.twimg.com/profile_images/1056627535843418113/5Cb805zY.jpg","View")</f>
        <v>View</v>
      </c>
    </row>
    <row r="1395" spans="1:21" ht="20.399999999999999">
      <c r="A1395" s="6">
        <v>43423.951782407406</v>
      </c>
      <c r="B1395" s="7" t="str">
        <f>HYPERLINK("https://twitter.com/PYRATA641","@PYRATA641")</f>
        <v>@PYRATA641</v>
      </c>
      <c r="C1395" s="8" t="s">
        <v>5024</v>
      </c>
      <c r="D1395" s="9" t="s">
        <v>4817</v>
      </c>
      <c r="E1395" s="10" t="str">
        <f>HYPERLINK("https://twitter.com/PYRATA641/status/1064772976598544385","1064772976598544385")</f>
        <v>1064772976598544385</v>
      </c>
      <c r="F1395" s="11" t="s">
        <v>3031</v>
      </c>
      <c r="G1395" s="12"/>
      <c r="H1395" s="12"/>
      <c r="I1395" s="13">
        <v>3</v>
      </c>
      <c r="J1395" s="13">
        <v>0</v>
      </c>
      <c r="K1395" s="14" t="str">
        <f>HYPERLINK("http://twitter.com/download/android","Twitter for Android")</f>
        <v>Twitter for Android</v>
      </c>
      <c r="L1395" s="13">
        <v>415</v>
      </c>
      <c r="M1395" s="13">
        <v>483</v>
      </c>
      <c r="N1395" s="13">
        <v>1</v>
      </c>
      <c r="O1395" s="15"/>
      <c r="P1395" s="6">
        <v>43327.524837962963</v>
      </c>
      <c r="Q1395" s="12"/>
      <c r="R1395" s="16" t="s">
        <v>5025</v>
      </c>
      <c r="S1395" s="12"/>
      <c r="T1395" s="12"/>
      <c r="U1395" s="10" t="str">
        <f>HYPERLINK("https://pbs.twimg.com/profile_images/1029815600997117952/zZxgVAph.jpg","View")</f>
        <v>View</v>
      </c>
    </row>
    <row r="1396" spans="1:21" ht="30.6">
      <c r="A1396" s="6">
        <v>43423.951620370368</v>
      </c>
      <c r="B1396" s="7" t="str">
        <f>HYPERLINK("https://twitter.com/AURELIAJEREZ","@AURELIAJEREZ")</f>
        <v>@AURELIAJEREZ</v>
      </c>
      <c r="C1396" s="8" t="s">
        <v>3505</v>
      </c>
      <c r="D1396" s="9" t="s">
        <v>5026</v>
      </c>
      <c r="E1396" s="10" t="str">
        <f>HYPERLINK("https://twitter.com/AURELIAJEREZ/status/1064772917609799680","1064772917609799680")</f>
        <v>1064772917609799680</v>
      </c>
      <c r="F1396" s="11" t="s">
        <v>5027</v>
      </c>
      <c r="G1396" s="12"/>
      <c r="H1396" s="12"/>
      <c r="I1396" s="13">
        <v>0</v>
      </c>
      <c r="J1396" s="13">
        <v>0</v>
      </c>
      <c r="K1396" s="14" t="str">
        <f t="shared" ref="K1396:K1397" si="252">HYPERLINK("http://twitter.com","Twitter Web Client")</f>
        <v>Twitter Web Client</v>
      </c>
      <c r="L1396" s="13">
        <v>3253</v>
      </c>
      <c r="M1396" s="13">
        <v>1989</v>
      </c>
      <c r="N1396" s="13">
        <v>87</v>
      </c>
      <c r="O1396" s="15"/>
      <c r="P1396" s="6">
        <v>41224.40079861111</v>
      </c>
      <c r="Q1396" s="17" t="s">
        <v>3507</v>
      </c>
      <c r="R1396" s="16" t="s">
        <v>3508</v>
      </c>
      <c r="S1396" s="11" t="s">
        <v>3509</v>
      </c>
      <c r="T1396" s="12"/>
      <c r="U1396" s="10" t="str">
        <f>HYPERLINK("https://pbs.twimg.com/profile_images/1041448487039188992/GoZpfxjT.jpg","View")</f>
        <v>View</v>
      </c>
    </row>
    <row r="1397" spans="1:21" ht="40.799999999999997">
      <c r="A1397" s="6">
        <v>43423.949722222227</v>
      </c>
      <c r="B1397" s="7" t="str">
        <f>HYPERLINK("https://twitter.com/MuyLiberal","@MuyLiberal")</f>
        <v>@MuyLiberal</v>
      </c>
      <c r="C1397" s="8" t="s">
        <v>5028</v>
      </c>
      <c r="D1397" s="9" t="s">
        <v>5029</v>
      </c>
      <c r="E1397" s="10" t="str">
        <f>HYPERLINK("https://twitter.com/MuyLiberal/status/1064772228955471873","1064772228955471873")</f>
        <v>1064772228955471873</v>
      </c>
      <c r="F1397" s="11" t="s">
        <v>5030</v>
      </c>
      <c r="G1397" s="12"/>
      <c r="H1397" s="12"/>
      <c r="I1397" s="13">
        <v>2</v>
      </c>
      <c r="J1397" s="13">
        <v>1</v>
      </c>
      <c r="K1397" s="14" t="str">
        <f t="shared" si="252"/>
        <v>Twitter Web Client</v>
      </c>
      <c r="L1397" s="13">
        <v>29339</v>
      </c>
      <c r="M1397" s="13">
        <v>1972</v>
      </c>
      <c r="N1397" s="13">
        <v>238</v>
      </c>
      <c r="O1397" s="19" t="s">
        <v>74</v>
      </c>
      <c r="P1397" s="6">
        <v>41184.409629629634</v>
      </c>
      <c r="Q1397" s="12"/>
      <c r="R1397" s="16" t="s">
        <v>5031</v>
      </c>
      <c r="S1397" s="11" t="s">
        <v>5032</v>
      </c>
      <c r="T1397" s="12"/>
      <c r="U1397" s="10" t="str">
        <f>HYPERLINK("https://pbs.twimg.com/profile_images/1065892129539530753/g638P6sH.jpg","View")</f>
        <v>View</v>
      </c>
    </row>
    <row r="1398" spans="1:21" ht="30.6">
      <c r="A1398" s="6">
        <v>43423.946018518516</v>
      </c>
      <c r="B1398" s="7" t="str">
        <f>HYPERLINK("https://twitter.com/GorgojeodeJesus","@GorgojeodeJesus")</f>
        <v>@GorgojeodeJesus</v>
      </c>
      <c r="C1398" s="8" t="s">
        <v>682</v>
      </c>
      <c r="D1398" s="9" t="s">
        <v>5033</v>
      </c>
      <c r="E1398" s="10" t="str">
        <f>HYPERLINK("https://twitter.com/GorgojeodeJesus/status/1064770886467760129","1064770886467760129")</f>
        <v>1064770886467760129</v>
      </c>
      <c r="F1398" s="11" t="s">
        <v>320</v>
      </c>
      <c r="G1398" s="12"/>
      <c r="H1398" s="12"/>
      <c r="I1398" s="13">
        <v>0</v>
      </c>
      <c r="J1398" s="13">
        <v>0</v>
      </c>
      <c r="K1398" s="14" t="str">
        <f t="shared" ref="K1398:K1399" si="253">HYPERLINK("http://twitter.com/download/iphone","Twitter for iPhone")</f>
        <v>Twitter for iPhone</v>
      </c>
      <c r="L1398" s="13">
        <v>490</v>
      </c>
      <c r="M1398" s="13">
        <v>1240</v>
      </c>
      <c r="N1398" s="13">
        <v>5</v>
      </c>
      <c r="O1398" s="15"/>
      <c r="P1398" s="6">
        <v>40949.019687499997</v>
      </c>
      <c r="Q1398" s="17" t="s">
        <v>686</v>
      </c>
      <c r="R1398" s="16" t="s">
        <v>688</v>
      </c>
      <c r="S1398" s="12"/>
      <c r="T1398" s="12"/>
      <c r="U1398" s="10" t="str">
        <f>HYPERLINK("https://pbs.twimg.com/profile_images/1064469679727628289/XQLgpRgi.jpg","View")</f>
        <v>View</v>
      </c>
    </row>
    <row r="1399" spans="1:21" ht="30.6">
      <c r="A1399" s="6">
        <v>43423.943877314814</v>
      </c>
      <c r="B1399" s="7" t="str">
        <f>HYPERLINK("https://twitter.com/RamonMLGA","@RamonMLGA")</f>
        <v>@RamonMLGA</v>
      </c>
      <c r="C1399" s="8" t="s">
        <v>831</v>
      </c>
      <c r="D1399" s="9" t="s">
        <v>5034</v>
      </c>
      <c r="E1399" s="10" t="str">
        <f>HYPERLINK("https://twitter.com/RamonMLGA/status/1064770111620419584","1064770111620419584")</f>
        <v>1064770111620419584</v>
      </c>
      <c r="F1399" s="12"/>
      <c r="G1399" s="12"/>
      <c r="H1399" s="12"/>
      <c r="I1399" s="13">
        <v>28</v>
      </c>
      <c r="J1399" s="13">
        <v>57</v>
      </c>
      <c r="K1399" s="14" t="str">
        <f t="shared" si="253"/>
        <v>Twitter for iPhone</v>
      </c>
      <c r="L1399" s="13">
        <v>9937</v>
      </c>
      <c r="M1399" s="13">
        <v>5134</v>
      </c>
      <c r="N1399" s="13">
        <v>82</v>
      </c>
      <c r="O1399" s="15"/>
      <c r="P1399" s="6">
        <v>41993.259409722217</v>
      </c>
      <c r="Q1399" s="17" t="s">
        <v>506</v>
      </c>
      <c r="R1399" s="16" t="s">
        <v>832</v>
      </c>
      <c r="S1399" s="11" t="s">
        <v>833</v>
      </c>
      <c r="T1399" s="12"/>
      <c r="U1399" s="10" t="str">
        <f>HYPERLINK("https://pbs.twimg.com/profile_images/1064883832757866496/YwnWCi4f.jpg","View")</f>
        <v>View</v>
      </c>
    </row>
    <row r="1400" spans="1:21" ht="30.6">
      <c r="A1400" s="6">
        <v>43423.941250000003</v>
      </c>
      <c r="B1400" s="7" t="str">
        <f>HYPERLINK("https://twitter.com/jdegra","@jdegra")</f>
        <v>@jdegra</v>
      </c>
      <c r="C1400" s="8" t="s">
        <v>5035</v>
      </c>
      <c r="D1400" s="9" t="s">
        <v>5036</v>
      </c>
      <c r="E1400" s="10" t="str">
        <f>HYPERLINK("https://twitter.com/jdegra/status/1064769157055565824","1064769157055565824")</f>
        <v>1064769157055565824</v>
      </c>
      <c r="F1400" s="11" t="s">
        <v>5037</v>
      </c>
      <c r="G1400" s="12"/>
      <c r="H1400" s="12"/>
      <c r="I1400" s="13">
        <v>0</v>
      </c>
      <c r="J1400" s="13">
        <v>0</v>
      </c>
      <c r="K1400" s="14" t="str">
        <f>HYPERLINK("http://twitter.com/download/android","Twitter for Android")</f>
        <v>Twitter for Android</v>
      </c>
      <c r="L1400" s="13">
        <v>1580</v>
      </c>
      <c r="M1400" s="13">
        <v>1775</v>
      </c>
      <c r="N1400" s="13">
        <v>128</v>
      </c>
      <c r="O1400" s="15"/>
      <c r="P1400" s="6">
        <v>39511.490358796298</v>
      </c>
      <c r="Q1400" s="17" t="s">
        <v>695</v>
      </c>
      <c r="R1400" s="16" t="s">
        <v>5038</v>
      </c>
      <c r="S1400" s="11" t="s">
        <v>5039</v>
      </c>
      <c r="T1400" s="12"/>
      <c r="U1400" s="10" t="str">
        <f>HYPERLINK("https://pbs.twimg.com/profile_images/1057154156170039296/Jgoy8HJA.jpg","View")</f>
        <v>View</v>
      </c>
    </row>
    <row r="1401" spans="1:21" ht="20.399999999999999">
      <c r="A1401" s="6">
        <v>43423.935717592598</v>
      </c>
      <c r="B1401" s="7" t="str">
        <f>HYPERLINK("https://twitter.com/MosaicoMercurio","@MosaicoMercurio")</f>
        <v>@MosaicoMercurio</v>
      </c>
      <c r="C1401" s="8" t="s">
        <v>5040</v>
      </c>
      <c r="D1401" s="9" t="s">
        <v>5041</v>
      </c>
      <c r="E1401" s="10" t="str">
        <f>HYPERLINK("https://twitter.com/MosaicoMercurio/status/1064767155487604737","1064767155487604737")</f>
        <v>1064767155487604737</v>
      </c>
      <c r="F1401" s="11" t="s">
        <v>5042</v>
      </c>
      <c r="G1401" s="12"/>
      <c r="H1401" s="12"/>
      <c r="I1401" s="13">
        <v>0</v>
      </c>
      <c r="J1401" s="13">
        <v>0</v>
      </c>
      <c r="K1401" s="14" t="str">
        <f>HYPERLINK("http://www.facebook.com/twitter","Facebook")</f>
        <v>Facebook</v>
      </c>
      <c r="L1401" s="13">
        <v>1684</v>
      </c>
      <c r="M1401" s="13">
        <v>4995</v>
      </c>
      <c r="N1401" s="13">
        <v>149</v>
      </c>
      <c r="O1401" s="15"/>
      <c r="P1401" s="6">
        <v>40226.418425925927</v>
      </c>
      <c r="Q1401" s="17" t="s">
        <v>76</v>
      </c>
      <c r="R1401" s="30" t="s">
        <v>5043</v>
      </c>
      <c r="S1401" s="11" t="s">
        <v>5044</v>
      </c>
      <c r="T1401" s="12"/>
      <c r="U1401" s="10" t="str">
        <f>HYPERLINK("https://pbs.twimg.com/profile_images/1583700439/LOGO2_cuadrado_422x422_.jpg","View")</f>
        <v>View</v>
      </c>
    </row>
    <row r="1402" spans="1:21" ht="40.799999999999997">
      <c r="A1402" s="6">
        <v>43423.896331018521</v>
      </c>
      <c r="B1402" s="7" t="str">
        <f>HYPERLINK("https://twitter.com/JuanRaBethencou","@JuanRaBethencou")</f>
        <v>@JuanRaBethencou</v>
      </c>
      <c r="C1402" s="8" t="s">
        <v>5045</v>
      </c>
      <c r="D1402" s="9" t="s">
        <v>5046</v>
      </c>
      <c r="E1402" s="10" t="str">
        <f>HYPERLINK("https://twitter.com/JuanRaBethencou/status/1064752879679008769","1064752879679008769")</f>
        <v>1064752879679008769</v>
      </c>
      <c r="F1402" s="12"/>
      <c r="G1402" s="12"/>
      <c r="H1402" s="12"/>
      <c r="I1402" s="13">
        <v>0</v>
      </c>
      <c r="J1402" s="13">
        <v>0</v>
      </c>
      <c r="K1402" s="14" t="str">
        <f>HYPERLINK("http://twitter.com","Twitter Web Client")</f>
        <v>Twitter Web Client</v>
      </c>
      <c r="L1402" s="13">
        <v>474</v>
      </c>
      <c r="M1402" s="13">
        <v>1547</v>
      </c>
      <c r="N1402" s="13">
        <v>3</v>
      </c>
      <c r="O1402" s="15"/>
      <c r="P1402" s="6">
        <v>40475.662233796298</v>
      </c>
      <c r="Q1402" s="17" t="s">
        <v>2270</v>
      </c>
      <c r="R1402" s="16" t="s">
        <v>5047</v>
      </c>
      <c r="S1402" s="12"/>
      <c r="T1402" s="12"/>
      <c r="U1402" s="10" t="str">
        <f>HYPERLINK("https://pbs.twimg.com/profile_images/1185138173/corbata1.jpg","View")</f>
        <v>View</v>
      </c>
    </row>
    <row r="1403" spans="1:21" ht="51">
      <c r="A1403" s="6">
        <v>43423.884189814809</v>
      </c>
      <c r="B1403" s="7" t="str">
        <f>HYPERLINK("https://twitter.com/democraciareal","@democraciareal")</f>
        <v>@democraciareal</v>
      </c>
      <c r="C1403" s="8" t="s">
        <v>2736</v>
      </c>
      <c r="D1403" s="9" t="s">
        <v>5048</v>
      </c>
      <c r="E1403" s="10" t="str">
        <f>HYPERLINK("https://twitter.com/democraciareal/status/1064748482383228928","1064748482383228928")</f>
        <v>1064748482383228928</v>
      </c>
      <c r="F1403" s="11" t="s">
        <v>5049</v>
      </c>
      <c r="G1403" s="11" t="s">
        <v>5050</v>
      </c>
      <c r="H1403" s="12"/>
      <c r="I1403" s="13">
        <v>22</v>
      </c>
      <c r="J1403" s="13">
        <v>13</v>
      </c>
      <c r="K1403" s="14" t="str">
        <f>HYPERLINK("https://about.twitter.com/products/tweetdeck","TweetDeck")</f>
        <v>TweetDeck</v>
      </c>
      <c r="L1403" s="13">
        <v>229245</v>
      </c>
      <c r="M1403" s="13">
        <v>1651</v>
      </c>
      <c r="N1403" s="13">
        <v>4110</v>
      </c>
      <c r="O1403" s="19" t="s">
        <v>74</v>
      </c>
      <c r="P1403" s="6">
        <v>40618.542870370373</v>
      </c>
      <c r="Q1403" s="17" t="s">
        <v>29</v>
      </c>
      <c r="R1403" s="16" t="s">
        <v>2739</v>
      </c>
      <c r="S1403" s="11" t="s">
        <v>2740</v>
      </c>
      <c r="T1403" s="12"/>
      <c r="U1403" s="10" t="str">
        <f>HYPERLINK("https://pbs.twimg.com/profile_images/378800000781070024/42aa7414bda63086ad3e4c458e55031b.jpeg","View")</f>
        <v>View</v>
      </c>
    </row>
    <row r="1404" spans="1:21" ht="20.399999999999999">
      <c r="A1404" s="6">
        <v>43423.852094907408</v>
      </c>
      <c r="B1404" s="7" t="str">
        <f>HYPERLINK("https://twitter.com/JManimar","@JManimar")</f>
        <v>@JManimar</v>
      </c>
      <c r="C1404" s="8" t="s">
        <v>5051</v>
      </c>
      <c r="D1404" s="9" t="s">
        <v>5052</v>
      </c>
      <c r="E1404" s="10" t="str">
        <f>HYPERLINK("https://twitter.com/JManimar/status/1064736850504503301","1064736850504503301")</f>
        <v>1064736850504503301</v>
      </c>
      <c r="F1404" s="12"/>
      <c r="G1404" s="11" t="s">
        <v>5053</v>
      </c>
      <c r="H1404" s="12"/>
      <c r="I1404" s="13">
        <v>2</v>
      </c>
      <c r="J1404" s="13">
        <v>4</v>
      </c>
      <c r="K1404" s="14" t="str">
        <f>HYPERLINK("http://twitter.com/download/android","Twitter for Android")</f>
        <v>Twitter for Android</v>
      </c>
      <c r="L1404" s="13">
        <v>3452</v>
      </c>
      <c r="M1404" s="13">
        <v>689</v>
      </c>
      <c r="N1404" s="13">
        <v>23</v>
      </c>
      <c r="O1404" s="15"/>
      <c r="P1404" s="6">
        <v>42105.378634259258</v>
      </c>
      <c r="Q1404" s="17" t="s">
        <v>2992</v>
      </c>
      <c r="R1404" s="16" t="s">
        <v>5054</v>
      </c>
      <c r="S1404" s="12"/>
      <c r="T1404" s="12"/>
      <c r="U1404" s="10" t="str">
        <f>HYPERLINK("https://pbs.twimg.com/profile_images/1059194425690198016/Yv3qWLHs.jpg","View")</f>
        <v>View</v>
      </c>
    </row>
    <row r="1405" spans="1:21" ht="30.6">
      <c r="A1405" s="6">
        <v>43423.845833333333</v>
      </c>
      <c r="B1405" s="7" t="str">
        <f>HYPERLINK("https://twitter.com/JaumeSatorra","@JaumeSatorra")</f>
        <v>@JaumeSatorra</v>
      </c>
      <c r="C1405" s="8" t="s">
        <v>5055</v>
      </c>
      <c r="D1405" s="9" t="s">
        <v>5056</v>
      </c>
      <c r="E1405" s="10" t="str">
        <f>HYPERLINK("https://twitter.com/JaumeSatorra/status/1064734580425543680","1064734580425543680")</f>
        <v>1064734580425543680</v>
      </c>
      <c r="F1405" s="11" t="s">
        <v>5057</v>
      </c>
      <c r="G1405" s="12"/>
      <c r="H1405" s="12"/>
      <c r="I1405" s="13">
        <v>0</v>
      </c>
      <c r="J1405" s="13">
        <v>0</v>
      </c>
      <c r="K1405" s="14" t="str">
        <f>HYPERLINK("http://twitter.com","Twitter Web Client")</f>
        <v>Twitter Web Client</v>
      </c>
      <c r="L1405" s="13">
        <v>924</v>
      </c>
      <c r="M1405" s="13">
        <v>20</v>
      </c>
      <c r="N1405" s="13">
        <v>72</v>
      </c>
      <c r="O1405" s="15"/>
      <c r="P1405" s="6">
        <v>40025.61204861111</v>
      </c>
      <c r="Q1405" s="17" t="s">
        <v>5058</v>
      </c>
      <c r="R1405" s="16" t="s">
        <v>5059</v>
      </c>
      <c r="S1405" s="11" t="s">
        <v>5060</v>
      </c>
      <c r="T1405" s="12"/>
      <c r="U1405" s="10" t="str">
        <f>HYPERLINK("https://pbs.twimg.com/profile_images/1060220705411948546/eDOAItfx.jpg","View")</f>
        <v>View</v>
      </c>
    </row>
    <row r="1406" spans="1:21" ht="30.6">
      <c r="A1406" s="6">
        <v>43423.8127662037</v>
      </c>
      <c r="B1406" s="7" t="str">
        <f>HYPERLINK("https://twitter.com/NuevaRevoluci0n","@NuevaRevoluci0n")</f>
        <v>@NuevaRevoluci0n</v>
      </c>
      <c r="C1406" s="20" t="s">
        <v>5061</v>
      </c>
      <c r="D1406" s="9" t="s">
        <v>5062</v>
      </c>
      <c r="E1406" s="10" t="str">
        <f>HYPERLINK("https://twitter.com/NuevaRevoluci0n/status/1064722595470282752","1064722595470282752")</f>
        <v>1064722595470282752</v>
      </c>
      <c r="F1406" s="11" t="s">
        <v>5063</v>
      </c>
      <c r="G1406" s="12"/>
      <c r="H1406" s="12"/>
      <c r="I1406" s="13">
        <v>0</v>
      </c>
      <c r="J1406" s="13">
        <v>0</v>
      </c>
      <c r="K1406" s="14" t="str">
        <f>HYPERLINK("https://buffer.com","Buffer")</f>
        <v>Buffer</v>
      </c>
      <c r="L1406" s="13">
        <v>23287</v>
      </c>
      <c r="M1406" s="13">
        <v>1886</v>
      </c>
      <c r="N1406" s="13">
        <v>352</v>
      </c>
      <c r="O1406" s="15"/>
      <c r="P1406" s="6">
        <v>41990.648240740746</v>
      </c>
      <c r="Q1406" s="17" t="s">
        <v>5064</v>
      </c>
      <c r="R1406" s="16" t="s">
        <v>5065</v>
      </c>
      <c r="S1406" s="11" t="s">
        <v>5066</v>
      </c>
      <c r="T1406" s="12"/>
      <c r="U1406" s="10" t="str">
        <f>HYPERLINK("https://pbs.twimg.com/profile_images/1012299127223439363/5rGUjnKV.jpg","View")</f>
        <v>View</v>
      </c>
    </row>
    <row r="1407" spans="1:21" ht="40.799999999999997">
      <c r="A1407" s="6">
        <v>43423.794224537036</v>
      </c>
      <c r="B1407" s="7" t="str">
        <f>HYPERLINK("https://twitter.com/NNuriapat","@NNuriapat")</f>
        <v>@NNuriapat</v>
      </c>
      <c r="C1407" s="8" t="s">
        <v>5067</v>
      </c>
      <c r="D1407" s="9" t="s">
        <v>5068</v>
      </c>
      <c r="E1407" s="10" t="str">
        <f>HYPERLINK("https://twitter.com/NNuriapat/status/1064715877281644544","1064715877281644544")</f>
        <v>1064715877281644544</v>
      </c>
      <c r="F1407" s="12"/>
      <c r="G1407" s="12"/>
      <c r="H1407" s="12"/>
      <c r="I1407" s="13">
        <v>0</v>
      </c>
      <c r="J1407" s="13">
        <v>0</v>
      </c>
      <c r="K1407" s="14" t="str">
        <f t="shared" ref="K1407:K1408" si="254">HYPERLINK("http://twitter.com/download/android","Twitter for Android")</f>
        <v>Twitter for Android</v>
      </c>
      <c r="L1407" s="13">
        <v>792</v>
      </c>
      <c r="M1407" s="13">
        <v>1153</v>
      </c>
      <c r="N1407" s="13">
        <v>19</v>
      </c>
      <c r="O1407" s="15"/>
      <c r="P1407" s="6">
        <v>41755.573854166665</v>
      </c>
      <c r="Q1407" s="17" t="s">
        <v>5069</v>
      </c>
      <c r="R1407" s="16" t="s">
        <v>5070</v>
      </c>
      <c r="S1407" s="12"/>
      <c r="T1407" s="12"/>
      <c r="U1407" s="10" t="str">
        <f>HYPERLINK("https://pbs.twimg.com/profile_images/762850684320423936/K6ip0uB3.jpg","View")</f>
        <v>View</v>
      </c>
    </row>
    <row r="1408" spans="1:21" ht="40.799999999999997">
      <c r="A1408" s="6">
        <v>43423.784837962958</v>
      </c>
      <c r="B1408" s="7" t="str">
        <f>HYPERLINK("https://twitter.com/Maribel_FdezG","@Maribel_FdezG")</f>
        <v>@Maribel_FdezG</v>
      </c>
      <c r="C1408" s="8" t="s">
        <v>5071</v>
      </c>
      <c r="D1408" s="9" t="s">
        <v>5072</v>
      </c>
      <c r="E1408" s="10" t="str">
        <f>HYPERLINK("https://twitter.com/Maribel_FdezG/status/1064712477760516096","1064712477760516096")</f>
        <v>1064712477760516096</v>
      </c>
      <c r="F1408" s="11" t="s">
        <v>3332</v>
      </c>
      <c r="G1408" s="12"/>
      <c r="H1408" s="12"/>
      <c r="I1408" s="13">
        <v>0</v>
      </c>
      <c r="J1408" s="13">
        <v>1</v>
      </c>
      <c r="K1408" s="14" t="str">
        <f t="shared" si="254"/>
        <v>Twitter for Android</v>
      </c>
      <c r="L1408" s="13">
        <v>1548</v>
      </c>
      <c r="M1408" s="13">
        <v>1407</v>
      </c>
      <c r="N1408" s="13">
        <v>59</v>
      </c>
      <c r="O1408" s="15"/>
      <c r="P1408" s="6">
        <v>40511.366307870368</v>
      </c>
      <c r="Q1408" s="17" t="s">
        <v>1325</v>
      </c>
      <c r="R1408" s="16" t="s">
        <v>5073</v>
      </c>
      <c r="S1408" s="12"/>
      <c r="T1408" s="12"/>
      <c r="U1408" s="10" t="str">
        <f>HYPERLINK("https://pbs.twimg.com/profile_images/1063798322505367552/MOKRCoiO.jpg","View")</f>
        <v>View</v>
      </c>
    </row>
    <row r="1409" spans="1:21" ht="40.799999999999997">
      <c r="A1409" s="6">
        <v>43423.742395833338</v>
      </c>
      <c r="B1409" s="7" t="str">
        <f>HYPERLINK("https://twitter.com/Canal_Z_","@Canal_Z_")</f>
        <v>@Canal_Z_</v>
      </c>
      <c r="C1409" s="8" t="s">
        <v>5074</v>
      </c>
      <c r="D1409" s="9" t="s">
        <v>5075</v>
      </c>
      <c r="E1409" s="10" t="str">
        <f>HYPERLINK("https://twitter.com/Canal_Z_/status/1064697095108599808","1064697095108599808")</f>
        <v>1064697095108599808</v>
      </c>
      <c r="F1409" s="11" t="s">
        <v>5076</v>
      </c>
      <c r="G1409" s="11" t="s">
        <v>5077</v>
      </c>
      <c r="H1409" s="12"/>
      <c r="I1409" s="13">
        <v>0</v>
      </c>
      <c r="J1409" s="13">
        <v>0</v>
      </c>
      <c r="K1409" s="14" t="str">
        <f t="shared" ref="K1409:K1410" si="255">HYPERLINK("http://twitter.com","Twitter Web Client")</f>
        <v>Twitter Web Client</v>
      </c>
      <c r="L1409" s="13">
        <v>2270</v>
      </c>
      <c r="M1409" s="13">
        <v>4979</v>
      </c>
      <c r="N1409" s="13">
        <v>6</v>
      </c>
      <c r="O1409" s="15"/>
      <c r="P1409" s="6">
        <v>41461.900254629625</v>
      </c>
      <c r="Q1409" s="17" t="s">
        <v>29</v>
      </c>
      <c r="R1409" s="16" t="s">
        <v>5078</v>
      </c>
      <c r="S1409" s="12"/>
      <c r="T1409" s="12"/>
      <c r="U1409" s="10" t="str">
        <f>HYPERLINK("https://pbs.twimg.com/profile_images/1008407123242422272/aENpWjy6.jpg","View")</f>
        <v>View</v>
      </c>
    </row>
    <row r="1410" spans="1:21" ht="20.399999999999999">
      <c r="A1410" s="6">
        <v>43423.740208333329</v>
      </c>
      <c r="B1410" s="7" t="str">
        <f>HYPERLINK("https://twitter.com/GlezFeder","@GlezFeder")</f>
        <v>@GlezFeder</v>
      </c>
      <c r="C1410" s="8" t="s">
        <v>4011</v>
      </c>
      <c r="D1410" s="9" t="s">
        <v>4152</v>
      </c>
      <c r="E1410" s="10" t="str">
        <f>HYPERLINK("https://twitter.com/GlezFeder/status/1064696305300193280","1064696305300193280")</f>
        <v>1064696305300193280</v>
      </c>
      <c r="F1410" s="11" t="s">
        <v>5079</v>
      </c>
      <c r="G1410" s="12"/>
      <c r="H1410" s="12"/>
      <c r="I1410" s="13">
        <v>0</v>
      </c>
      <c r="J1410" s="13">
        <v>0</v>
      </c>
      <c r="K1410" s="14" t="str">
        <f t="shared" si="255"/>
        <v>Twitter Web Client</v>
      </c>
      <c r="L1410" s="13">
        <v>208</v>
      </c>
      <c r="M1410" s="13">
        <v>262</v>
      </c>
      <c r="N1410" s="13">
        <v>2</v>
      </c>
      <c r="O1410" s="15"/>
      <c r="P1410" s="6">
        <v>43247.450613425928</v>
      </c>
      <c r="Q1410" s="17" t="s">
        <v>4014</v>
      </c>
      <c r="R1410" s="16" t="s">
        <v>4015</v>
      </c>
      <c r="S1410" s="12"/>
      <c r="T1410" s="12"/>
      <c r="U1410" s="10" t="str">
        <f>HYPERLINK("https://pbs.twimg.com/profile_images/1060247976700973056/3K9K-vjB.jpg","View")</f>
        <v>View</v>
      </c>
    </row>
    <row r="1411" spans="1:21" ht="30.6">
      <c r="A1411" s="6">
        <v>43423.740162037036</v>
      </c>
      <c r="B1411" s="7" t="str">
        <f>HYPERLINK("https://twitter.com/belindassoy","@belindassoy")</f>
        <v>@belindassoy</v>
      </c>
      <c r="C1411" s="8" t="s">
        <v>317</v>
      </c>
      <c r="D1411" s="9" t="s">
        <v>318</v>
      </c>
      <c r="E1411" s="10" t="str">
        <f>HYPERLINK("https://twitter.com/belindassoy/status/1064696287944208384","1064696287944208384")</f>
        <v>1064696287944208384</v>
      </c>
      <c r="F1411" s="11" t="s">
        <v>320</v>
      </c>
      <c r="G1411" s="12"/>
      <c r="H1411" s="12"/>
      <c r="I1411" s="13">
        <v>0</v>
      </c>
      <c r="J1411" s="13">
        <v>0</v>
      </c>
      <c r="K1411" s="14" t="str">
        <f t="shared" ref="K1411:K1412" si="256">HYPERLINK("http://www.facebook.com/twitter","Facebook")</f>
        <v>Facebook</v>
      </c>
      <c r="L1411" s="13">
        <v>6737</v>
      </c>
      <c r="M1411" s="13">
        <v>6134</v>
      </c>
      <c r="N1411" s="13">
        <v>109</v>
      </c>
      <c r="O1411" s="15"/>
      <c r="P1411" s="6">
        <v>40196.395648148144</v>
      </c>
      <c r="Q1411" s="17" t="s">
        <v>324</v>
      </c>
      <c r="R1411" s="16" t="s">
        <v>325</v>
      </c>
      <c r="S1411" s="11" t="s">
        <v>326</v>
      </c>
      <c r="T1411" s="12"/>
      <c r="U1411" s="10" t="str">
        <f>HYPERLINK("https://pbs.twimg.com/profile_images/1025773083259482112/Je6Bdo-F.jpg","View")</f>
        <v>View</v>
      </c>
    </row>
    <row r="1412" spans="1:21" ht="30.6">
      <c r="A1412" s="6">
        <v>43423.714548611111</v>
      </c>
      <c r="B1412" s="7" t="str">
        <f>HYPERLINK("https://twitter.com/cuin1425","@cuin1425")</f>
        <v>@cuin1425</v>
      </c>
      <c r="C1412" s="8" t="s">
        <v>5080</v>
      </c>
      <c r="D1412" s="9" t="s">
        <v>5081</v>
      </c>
      <c r="E1412" s="10" t="str">
        <f>HYPERLINK("https://twitter.com/cuin1425/status/1064687005030907904","1064687005030907904")</f>
        <v>1064687005030907904</v>
      </c>
      <c r="F1412" s="11" t="s">
        <v>5082</v>
      </c>
      <c r="G1412" s="12"/>
      <c r="H1412" s="12"/>
      <c r="I1412" s="13">
        <v>1</v>
      </c>
      <c r="J1412" s="13">
        <v>1</v>
      </c>
      <c r="K1412" s="14" t="str">
        <f t="shared" si="256"/>
        <v>Facebook</v>
      </c>
      <c r="L1412" s="13">
        <v>579</v>
      </c>
      <c r="M1412" s="13">
        <v>977</v>
      </c>
      <c r="N1412" s="13">
        <v>13</v>
      </c>
      <c r="O1412" s="15"/>
      <c r="P1412" s="6">
        <v>40274.062928240739</v>
      </c>
      <c r="Q1412" s="17" t="s">
        <v>3171</v>
      </c>
      <c r="R1412" s="16" t="s">
        <v>5084</v>
      </c>
      <c r="S1412" s="12"/>
      <c r="T1412" s="12"/>
      <c r="U1412" s="10" t="str">
        <f>HYPERLINK("https://pbs.twimg.com/profile_images/820055555305832448/qbgSwEuX.jpg","View")</f>
        <v>View</v>
      </c>
    </row>
    <row r="1413" spans="1:21" ht="30.6">
      <c r="A1413" s="6">
        <v>43423.710451388892</v>
      </c>
      <c r="B1413" s="7" t="str">
        <f>HYPERLINK("https://twitter.com/ampl48","@ampl48")</f>
        <v>@ampl48</v>
      </c>
      <c r="C1413" s="8" t="s">
        <v>5085</v>
      </c>
      <c r="D1413" s="9" t="s">
        <v>5086</v>
      </c>
      <c r="E1413" s="10" t="str">
        <f>HYPERLINK("https://twitter.com/ampl48/status/1064685520045948928","1064685520045948928")</f>
        <v>1064685520045948928</v>
      </c>
      <c r="F1413" s="11" t="s">
        <v>5087</v>
      </c>
      <c r="G1413" s="12"/>
      <c r="H1413" s="12"/>
      <c r="I1413" s="13">
        <v>0</v>
      </c>
      <c r="J1413" s="13">
        <v>0</v>
      </c>
      <c r="K1413" s="14" t="str">
        <f>HYPERLINK("http://twitter.com","Twitter Web Client")</f>
        <v>Twitter Web Client</v>
      </c>
      <c r="L1413" s="13">
        <v>1366</v>
      </c>
      <c r="M1413" s="13">
        <v>2160</v>
      </c>
      <c r="N1413" s="13">
        <v>52</v>
      </c>
      <c r="O1413" s="15"/>
      <c r="P1413" s="6">
        <v>40814.237280092595</v>
      </c>
      <c r="Q1413" s="17" t="s">
        <v>77</v>
      </c>
      <c r="R1413" s="16" t="s">
        <v>5088</v>
      </c>
      <c r="S1413" s="12"/>
      <c r="T1413" s="12"/>
      <c r="U1413" s="10" t="str">
        <f>HYPERLINK("https://pbs.twimg.com/profile_images/663500601351892993/p91GeEcT.jpg","View")</f>
        <v>View</v>
      </c>
    </row>
    <row r="1414" spans="1:21" ht="40.799999999999997">
      <c r="A1414" s="6">
        <v>43423.692847222221</v>
      </c>
      <c r="B1414" s="7" t="str">
        <f>HYPERLINK("https://twitter.com/PayoMiguel","@PayoMiguel")</f>
        <v>@PayoMiguel</v>
      </c>
      <c r="C1414" s="8" t="s">
        <v>5089</v>
      </c>
      <c r="D1414" s="9" t="s">
        <v>5090</v>
      </c>
      <c r="E1414" s="10" t="str">
        <f>HYPERLINK("https://twitter.com/PayoMiguel/status/1064679138961829889","1064679138961829889")</f>
        <v>1064679138961829889</v>
      </c>
      <c r="F1414" s="11" t="s">
        <v>5091</v>
      </c>
      <c r="G1414" s="12"/>
      <c r="H1414" s="12"/>
      <c r="I1414" s="13">
        <v>1</v>
      </c>
      <c r="J1414" s="13">
        <v>2</v>
      </c>
      <c r="K1414" s="14" t="str">
        <f>HYPERLINK("http://twitter.com/download/iphone","Twitter for iPhone")</f>
        <v>Twitter for iPhone</v>
      </c>
      <c r="L1414" s="13">
        <v>30</v>
      </c>
      <c r="M1414" s="13">
        <v>43</v>
      </c>
      <c r="N1414" s="13">
        <v>0</v>
      </c>
      <c r="O1414" s="15"/>
      <c r="P1414" s="6">
        <v>43065.215162037042</v>
      </c>
      <c r="Q1414" s="17" t="s">
        <v>5092</v>
      </c>
      <c r="R1414" s="16" t="s">
        <v>5093</v>
      </c>
      <c r="S1414" s="12"/>
      <c r="T1414" s="12"/>
      <c r="U1414" s="10" t="str">
        <f>HYPERLINK("https://pbs.twimg.com/profile_images/934779253127876608/snCGqo4y.jpg","View")</f>
        <v>View</v>
      </c>
    </row>
    <row r="1415" spans="1:21" ht="20.399999999999999">
      <c r="A1415" s="6">
        <v>43423.688194444447</v>
      </c>
      <c r="B1415" s="7" t="str">
        <f>HYPERLINK("https://twitter.com/eldiarioes","@eldiarioes")</f>
        <v>@eldiarioes</v>
      </c>
      <c r="C1415" s="20" t="s">
        <v>687</v>
      </c>
      <c r="D1415" s="9" t="s">
        <v>5094</v>
      </c>
      <c r="E1415" s="10" t="str">
        <f>HYPERLINK("https://twitter.com/eldiarioes/status/1064677456332828672","1064677456332828672")</f>
        <v>1064677456332828672</v>
      </c>
      <c r="F1415" s="11" t="s">
        <v>5095</v>
      </c>
      <c r="G1415" s="11" t="s">
        <v>5096</v>
      </c>
      <c r="H1415" s="12"/>
      <c r="I1415" s="13">
        <v>7</v>
      </c>
      <c r="J1415" s="13">
        <v>10</v>
      </c>
      <c r="K1415" s="14" t="str">
        <f>HYPERLINK("https://about.twitter.com/products/tweetdeck","TweetDeck")</f>
        <v>TweetDeck</v>
      </c>
      <c r="L1415" s="13">
        <v>936615</v>
      </c>
      <c r="M1415" s="13">
        <v>456</v>
      </c>
      <c r="N1415" s="13">
        <v>11235</v>
      </c>
      <c r="O1415" s="19" t="s">
        <v>74</v>
      </c>
      <c r="P1415" s="6">
        <v>40992.505856481483</v>
      </c>
      <c r="Q1415" s="12"/>
      <c r="R1415" s="16" t="s">
        <v>692</v>
      </c>
      <c r="S1415" s="11" t="s">
        <v>693</v>
      </c>
      <c r="T1415" s="12"/>
      <c r="U1415" s="10" t="str">
        <f>HYPERLINK("https://pbs.twimg.com/profile_images/1016600645292511232/eYIkIK2s.jpg","View")</f>
        <v>View</v>
      </c>
    </row>
    <row r="1416" spans="1:21" ht="51">
      <c r="A1416" s="6">
        <v>43423.684247685189</v>
      </c>
      <c r="B1416" s="7" t="str">
        <f>HYPERLINK("https://twitter.com/IvanTheDude","@IvanTheDude")</f>
        <v>@IvanTheDude</v>
      </c>
      <c r="C1416" s="8" t="s">
        <v>5097</v>
      </c>
      <c r="D1416" s="9" t="s">
        <v>5098</v>
      </c>
      <c r="E1416" s="10" t="str">
        <f>HYPERLINK("https://twitter.com/IvanTheDude/status/1064676022841470976","1064676022841470976")</f>
        <v>1064676022841470976</v>
      </c>
      <c r="F1416" s="17" t="s">
        <v>5099</v>
      </c>
      <c r="G1416" s="12"/>
      <c r="H1416" s="12"/>
      <c r="I1416" s="13">
        <v>1</v>
      </c>
      <c r="J1416" s="13">
        <v>0</v>
      </c>
      <c r="K1416" s="14" t="str">
        <f>HYPERLINK("http://twitter.com","Twitter Web Client")</f>
        <v>Twitter Web Client</v>
      </c>
      <c r="L1416" s="13">
        <v>300</v>
      </c>
      <c r="M1416" s="13">
        <v>322</v>
      </c>
      <c r="N1416" s="13">
        <v>7</v>
      </c>
      <c r="O1416" s="15"/>
      <c r="P1416" s="6">
        <v>41039.623240740737</v>
      </c>
      <c r="Q1416" s="17" t="s">
        <v>5100</v>
      </c>
      <c r="R1416" s="16" t="s">
        <v>5101</v>
      </c>
      <c r="S1416" s="11" t="s">
        <v>5102</v>
      </c>
      <c r="T1416" s="12"/>
      <c r="U1416" s="10" t="str">
        <f>HYPERLINK("https://pbs.twimg.com/profile_images/824368873948463117/YwoGkVNL.jpg","View")</f>
        <v>View</v>
      </c>
    </row>
    <row r="1417" spans="1:21" ht="20.399999999999999">
      <c r="A1417" s="6">
        <v>43423.670046296298</v>
      </c>
      <c r="B1417" s="7" t="str">
        <f>HYPERLINK("https://twitter.com/Bastin29316048","@Bastin29316048")</f>
        <v>@Bastin29316048</v>
      </c>
      <c r="C1417" s="8" t="s">
        <v>5103</v>
      </c>
      <c r="D1417" s="9" t="s">
        <v>5104</v>
      </c>
      <c r="E1417" s="10" t="str">
        <f>HYPERLINK("https://twitter.com/Bastin29316048/status/1064670877051219969","1064670877051219969")</f>
        <v>1064670877051219969</v>
      </c>
      <c r="F1417" s="12"/>
      <c r="G1417" s="12"/>
      <c r="H1417" s="12"/>
      <c r="I1417" s="13">
        <v>0</v>
      </c>
      <c r="J1417" s="13">
        <v>0</v>
      </c>
      <c r="K1417" s="14" t="str">
        <f>HYPERLINK("http://twitter.com/download/android","Twitter for Android")</f>
        <v>Twitter for Android</v>
      </c>
      <c r="L1417" s="13">
        <v>441</v>
      </c>
      <c r="M1417" s="13">
        <v>1745</v>
      </c>
      <c r="N1417" s="13">
        <v>8</v>
      </c>
      <c r="O1417" s="15"/>
      <c r="P1417" s="6">
        <v>40635.283032407409</v>
      </c>
      <c r="Q1417" s="17" t="s">
        <v>312</v>
      </c>
      <c r="R1417" s="16" t="s">
        <v>5105</v>
      </c>
      <c r="S1417" s="12"/>
      <c r="T1417" s="12"/>
      <c r="U1417" s="10" t="str">
        <f>HYPERLINK("https://pbs.twimg.com/profile_images/939632903033585665/OQ7cZWU2.jpg","View")</f>
        <v>View</v>
      </c>
    </row>
    <row r="1418" spans="1:21" ht="81.599999999999994">
      <c r="A1418" s="6">
        <v>43423.669016203705</v>
      </c>
      <c r="B1418" s="7" t="str">
        <f>HYPERLINK("https://twitter.com/VoxAlemania","@VoxAlemania")</f>
        <v>@VoxAlemania</v>
      </c>
      <c r="C1418" s="8" t="s">
        <v>5106</v>
      </c>
      <c r="D1418" s="9" t="s">
        <v>5107</v>
      </c>
      <c r="E1418" s="10" t="str">
        <f>HYPERLINK("https://twitter.com/VoxAlemania/status/1064670506186694656","1064670506186694656")</f>
        <v>1064670506186694656</v>
      </c>
      <c r="F1418" s="17" t="s">
        <v>5108</v>
      </c>
      <c r="G1418" s="12"/>
      <c r="H1418" s="12"/>
      <c r="I1418" s="13">
        <v>3</v>
      </c>
      <c r="J1418" s="13">
        <v>6</v>
      </c>
      <c r="K1418" s="14" t="str">
        <f>HYPERLINK("https://mobile.twitter.com","Twitter Lite")</f>
        <v>Twitter Lite</v>
      </c>
      <c r="L1418" s="13">
        <v>654</v>
      </c>
      <c r="M1418" s="13">
        <v>493</v>
      </c>
      <c r="N1418" s="13">
        <v>2</v>
      </c>
      <c r="O1418" s="15"/>
      <c r="P1418" s="6">
        <v>43269.420023148152</v>
      </c>
      <c r="Q1418" s="17" t="s">
        <v>5109</v>
      </c>
      <c r="R1418" s="16" t="s">
        <v>5110</v>
      </c>
      <c r="S1418" s="12"/>
      <c r="T1418" s="12"/>
      <c r="U1418" s="10" t="str">
        <f>HYPERLINK("https://pbs.twimg.com/profile_images/1008758172327301120/xhgdd2iH.jpg","View")</f>
        <v>View</v>
      </c>
    </row>
    <row r="1419" spans="1:21" ht="51">
      <c r="A1419" s="6">
        <v>43423.667557870373</v>
      </c>
      <c r="B1419" s="7" t="str">
        <f>HYPERLINK("https://twitter.com/josemarxtinez","@josemarxtinez")</f>
        <v>@josemarxtinez</v>
      </c>
      <c r="C1419" s="8" t="s">
        <v>1279</v>
      </c>
      <c r="D1419" s="9" t="s">
        <v>5111</v>
      </c>
      <c r="E1419" s="10" t="str">
        <f>HYPERLINK("https://twitter.com/josemarxtinez/status/1064669974520844289","1064669974520844289")</f>
        <v>1064669974520844289</v>
      </c>
      <c r="F1419" s="12"/>
      <c r="G1419" s="12"/>
      <c r="H1419" s="12"/>
      <c r="I1419" s="13">
        <v>0</v>
      </c>
      <c r="J1419" s="13">
        <v>1</v>
      </c>
      <c r="K1419" s="14" t="str">
        <f>HYPERLINK("http://twitter.com","Twitter Web Client")</f>
        <v>Twitter Web Client</v>
      </c>
      <c r="L1419" s="13">
        <v>151</v>
      </c>
      <c r="M1419" s="13">
        <v>366</v>
      </c>
      <c r="N1419" s="13">
        <v>0</v>
      </c>
      <c r="O1419" s="15"/>
      <c r="P1419" s="6">
        <v>43272.691655092596</v>
      </c>
      <c r="Q1419" s="12"/>
      <c r="R1419" s="16" t="s">
        <v>1281</v>
      </c>
      <c r="S1419" s="12"/>
      <c r="T1419" s="12"/>
      <c r="U1419" s="10" t="str">
        <f>HYPERLINK("https://pbs.twimg.com/profile_images/1009945066654388225/3HfHNcCx.jpg","View")</f>
        <v>View</v>
      </c>
    </row>
    <row r="1420" spans="1:21" ht="30.6">
      <c r="A1420" s="6">
        <v>43423.666886574079</v>
      </c>
      <c r="B1420" s="7" t="str">
        <f>HYPERLINK("https://twitter.com/gustavobohm","@gustavobohm")</f>
        <v>@gustavobohm</v>
      </c>
      <c r="C1420" s="8" t="s">
        <v>5112</v>
      </c>
      <c r="D1420" s="9" t="s">
        <v>5113</v>
      </c>
      <c r="E1420" s="10" t="str">
        <f>HYPERLINK("https://twitter.com/gustavobohm/status/1064669732735934464","1064669732735934464")</f>
        <v>1064669732735934464</v>
      </c>
      <c r="F1420" s="11" t="s">
        <v>5114</v>
      </c>
      <c r="G1420" s="12"/>
      <c r="H1420" s="12"/>
      <c r="I1420" s="13">
        <v>0</v>
      </c>
      <c r="J1420" s="13">
        <v>0</v>
      </c>
      <c r="K1420" s="14" t="str">
        <f>HYPERLINK("http://www.facebook.com/twitter","Facebook")</f>
        <v>Facebook</v>
      </c>
      <c r="L1420" s="13">
        <v>686</v>
      </c>
      <c r="M1420" s="13">
        <v>1732</v>
      </c>
      <c r="N1420" s="13">
        <v>4</v>
      </c>
      <c r="O1420" s="15"/>
      <c r="P1420" s="6">
        <v>40083.519120370373</v>
      </c>
      <c r="Q1420" s="17" t="s">
        <v>5115</v>
      </c>
      <c r="R1420" s="16" t="s">
        <v>5116</v>
      </c>
      <c r="S1420" s="12"/>
      <c r="T1420" s="12"/>
      <c r="U1420" s="10" t="str">
        <f>HYPERLINK("https://pbs.twimg.com/profile_images/904486688398991361/GDh7IddI.jpg","View")</f>
        <v>View</v>
      </c>
    </row>
    <row r="1421" spans="1:21" ht="51">
      <c r="A1421" s="6">
        <v>43423.666238425925</v>
      </c>
      <c r="B1421" s="7" t="str">
        <f>HYPERLINK("https://twitter.com/SergiMaranya","@SergiMaranya")</f>
        <v>@SergiMaranya</v>
      </c>
      <c r="C1421" s="8" t="s">
        <v>5119</v>
      </c>
      <c r="D1421" s="9" t="s">
        <v>5120</v>
      </c>
      <c r="E1421" s="10" t="str">
        <f>HYPERLINK("https://twitter.com/SergiMaranya/status/1064669496592470024","1064669496592470024")</f>
        <v>1064669496592470024</v>
      </c>
      <c r="F1421" s="12"/>
      <c r="G1421" s="11" t="s">
        <v>5121</v>
      </c>
      <c r="H1421" s="12"/>
      <c r="I1421" s="13">
        <v>0</v>
      </c>
      <c r="J1421" s="13">
        <v>1</v>
      </c>
      <c r="K1421" s="14" t="str">
        <f>HYPERLINK("http://twitter.com/download/iphone","Twitter for iPhone")</f>
        <v>Twitter for iPhone</v>
      </c>
      <c r="L1421" s="13">
        <v>5944</v>
      </c>
      <c r="M1421" s="13">
        <v>1375</v>
      </c>
      <c r="N1421" s="13">
        <v>110</v>
      </c>
      <c r="O1421" s="15"/>
      <c r="P1421" s="6">
        <v>40346.745023148149</v>
      </c>
      <c r="Q1421" s="17" t="s">
        <v>419</v>
      </c>
      <c r="R1421" s="16" t="s">
        <v>5122</v>
      </c>
      <c r="S1421" s="12"/>
      <c r="T1421" s="12"/>
      <c r="U1421" s="10" t="str">
        <f>HYPERLINK("https://pbs.twimg.com/profile_images/1031540517547458561/3jbGGnqV.jpg","View")</f>
        <v>View</v>
      </c>
    </row>
    <row r="1422" spans="1:21" ht="20.399999999999999">
      <c r="A1422" s="6">
        <v>43423.659016203703</v>
      </c>
      <c r="B1422" s="7" t="str">
        <f>HYPERLINK("https://twitter.com/AuroraMillanGal","@AuroraMillanGal")</f>
        <v>@AuroraMillanGal</v>
      </c>
      <c r="C1422" s="8" t="s">
        <v>5123</v>
      </c>
      <c r="D1422" s="9" t="s">
        <v>3483</v>
      </c>
      <c r="E1422" s="10" t="str">
        <f>HYPERLINK("https://twitter.com/AuroraMillanGal/status/1064666878612840459","1064666878612840459")</f>
        <v>1064666878612840459</v>
      </c>
      <c r="F1422" s="11" t="s">
        <v>3484</v>
      </c>
      <c r="G1422" s="12"/>
      <c r="H1422" s="12"/>
      <c r="I1422" s="13">
        <v>0</v>
      </c>
      <c r="J1422" s="13">
        <v>0</v>
      </c>
      <c r="K1422" s="14" t="str">
        <f>HYPERLINK("http://twitter.com","Twitter Web Client")</f>
        <v>Twitter Web Client</v>
      </c>
      <c r="L1422" s="13">
        <v>104</v>
      </c>
      <c r="M1422" s="13">
        <v>193</v>
      </c>
      <c r="N1422" s="13">
        <v>0</v>
      </c>
      <c r="O1422" s="15"/>
      <c r="P1422" s="6">
        <v>40972.123402777775</v>
      </c>
      <c r="Q1422" s="17" t="s">
        <v>5124</v>
      </c>
      <c r="R1422" s="16" t="s">
        <v>5125</v>
      </c>
      <c r="S1422" s="12"/>
      <c r="T1422" s="12"/>
      <c r="U1422" s="10" t="str">
        <f>HYPERLINK("https://pbs.twimg.com/profile_images/918966043950936065/fkHkgdM_.jpg","View")</f>
        <v>View</v>
      </c>
    </row>
    <row r="1423" spans="1:21" ht="61.2">
      <c r="A1423" s="6">
        <v>43423.655949074076</v>
      </c>
      <c r="B1423" s="7" t="str">
        <f>HYPERLINK("https://twitter.com/Quikecito","@Quikecito")</f>
        <v>@Quikecito</v>
      </c>
      <c r="C1423" s="8" t="s">
        <v>5126</v>
      </c>
      <c r="D1423" s="9" t="s">
        <v>5127</v>
      </c>
      <c r="E1423" s="10" t="str">
        <f>HYPERLINK("https://twitter.com/Quikecito/status/1064665768422506497","1064665768422506497")</f>
        <v>1064665768422506497</v>
      </c>
      <c r="F1423" s="12"/>
      <c r="G1423" s="12"/>
      <c r="H1423" s="12"/>
      <c r="I1423" s="13">
        <v>4</v>
      </c>
      <c r="J1423" s="13">
        <v>4</v>
      </c>
      <c r="K1423" s="14" t="str">
        <f t="shared" ref="K1423:K1424" si="257">HYPERLINK("http://twitter.com/download/android","Twitter for Android")</f>
        <v>Twitter for Android</v>
      </c>
      <c r="L1423" s="13">
        <v>1494</v>
      </c>
      <c r="M1423" s="13">
        <v>2525</v>
      </c>
      <c r="N1423" s="13">
        <v>13</v>
      </c>
      <c r="O1423" s="15"/>
      <c r="P1423" s="6">
        <v>41670.509780092594</v>
      </c>
      <c r="Q1423" s="17" t="s">
        <v>5128</v>
      </c>
      <c r="R1423" s="16" t="s">
        <v>5129</v>
      </c>
      <c r="S1423" s="12"/>
      <c r="T1423" s="12"/>
      <c r="U1423" s="10" t="str">
        <f>HYPERLINK("https://pbs.twimg.com/profile_images/966087038578589696/y-XxB0Nx.jpg","View")</f>
        <v>View</v>
      </c>
    </row>
    <row r="1424" spans="1:21" ht="51">
      <c r="A1424" s="6">
        <v>43423.653506944444</v>
      </c>
      <c r="B1424" s="7" t="str">
        <f>HYPERLINK("https://twitter.com/acritor","@acritor")</f>
        <v>@acritor</v>
      </c>
      <c r="C1424" s="8" t="s">
        <v>5130</v>
      </c>
      <c r="D1424" s="9" t="s">
        <v>5131</v>
      </c>
      <c r="E1424" s="10" t="str">
        <f>HYPERLINK("https://twitter.com/acritor/status/1064664881964744704","1064664881964744704")</f>
        <v>1064664881964744704</v>
      </c>
      <c r="F1424" s="11" t="s">
        <v>5132</v>
      </c>
      <c r="G1424" s="12"/>
      <c r="H1424" s="12"/>
      <c r="I1424" s="13">
        <v>0</v>
      </c>
      <c r="J1424" s="13">
        <v>0</v>
      </c>
      <c r="K1424" s="14" t="str">
        <f t="shared" si="257"/>
        <v>Twitter for Android</v>
      </c>
      <c r="L1424" s="13">
        <v>138</v>
      </c>
      <c r="M1424" s="13">
        <v>253</v>
      </c>
      <c r="N1424" s="13">
        <v>0</v>
      </c>
      <c r="O1424" s="15"/>
      <c r="P1424" s="6">
        <v>41247.506828703699</v>
      </c>
      <c r="Q1424" s="12"/>
      <c r="R1424" s="16" t="s">
        <v>5133</v>
      </c>
      <c r="S1424" s="12"/>
      <c r="T1424" s="12"/>
      <c r="U1424" s="10" t="str">
        <f>HYPERLINK("https://pbs.twimg.com/profile_images/769611537380245504/PEws1A5M.jpg","View")</f>
        <v>View</v>
      </c>
    </row>
    <row r="1425" spans="1:21" ht="71.400000000000006">
      <c r="A1425" s="6">
        <v>43423.644675925927</v>
      </c>
      <c r="B1425" s="7" t="str">
        <f>HYPERLINK("https://twitter.com/KikeMlaga","@KikeMlaga")</f>
        <v>@KikeMlaga</v>
      </c>
      <c r="C1425" s="8" t="s">
        <v>27</v>
      </c>
      <c r="D1425" s="9" t="s">
        <v>5135</v>
      </c>
      <c r="E1425" s="10" t="str">
        <f>HYPERLINK("https://twitter.com/KikeMlaga/status/1064661682335739905","1064661682335739905")</f>
        <v>1064661682335739905</v>
      </c>
      <c r="F1425" s="17" t="s">
        <v>5136</v>
      </c>
      <c r="G1425" s="12"/>
      <c r="H1425" s="12"/>
      <c r="I1425" s="13">
        <v>1</v>
      </c>
      <c r="J1425" s="13">
        <v>1</v>
      </c>
      <c r="K1425" s="14" t="str">
        <f>HYPERLINK("http://www.facebook.com/twitter","Facebook")</f>
        <v>Facebook</v>
      </c>
      <c r="L1425" s="13">
        <v>12749</v>
      </c>
      <c r="M1425" s="13">
        <v>6573</v>
      </c>
      <c r="N1425" s="13">
        <v>505</v>
      </c>
      <c r="O1425" s="15"/>
      <c r="P1425" s="6">
        <v>41741.205972222218</v>
      </c>
      <c r="Q1425" s="12"/>
      <c r="R1425" s="16" t="s">
        <v>30</v>
      </c>
      <c r="S1425" s="12"/>
      <c r="T1425" s="12"/>
      <c r="U1425" s="10" t="str">
        <f>HYPERLINK("https://pbs.twimg.com/profile_images/1011358516316200960/GKpIBcYV.jpg","View")</f>
        <v>View</v>
      </c>
    </row>
    <row r="1426" spans="1:21" ht="20.399999999999999">
      <c r="A1426" s="6">
        <v>43423.640532407408</v>
      </c>
      <c r="B1426" s="7" t="str">
        <f>HYPERLINK("https://twitter.com/ALF_Astur","@ALF_Astur")</f>
        <v>@ALF_Astur</v>
      </c>
      <c r="C1426" s="8" t="s">
        <v>1412</v>
      </c>
      <c r="D1426" s="9" t="s">
        <v>5138</v>
      </c>
      <c r="E1426" s="10" t="str">
        <f>HYPERLINK("https://twitter.com/ALF_Astur/status/1064660183916453890","1064660183916453890")</f>
        <v>1064660183916453890</v>
      </c>
      <c r="F1426" s="12"/>
      <c r="G1426" s="12"/>
      <c r="H1426" s="12"/>
      <c r="I1426" s="13">
        <v>0</v>
      </c>
      <c r="J1426" s="13">
        <v>0</v>
      </c>
      <c r="K1426" s="14" t="str">
        <f>HYPERLINK("http://twitter.com/download/android","Twitter for Android")</f>
        <v>Twitter for Android</v>
      </c>
      <c r="L1426" s="13">
        <v>277</v>
      </c>
      <c r="M1426" s="13">
        <v>489</v>
      </c>
      <c r="N1426" s="13">
        <v>3</v>
      </c>
      <c r="O1426" s="15"/>
      <c r="P1426" s="6">
        <v>42730.467986111107</v>
      </c>
      <c r="Q1426" s="17" t="s">
        <v>216</v>
      </c>
      <c r="R1426" s="16" t="s">
        <v>1415</v>
      </c>
      <c r="S1426" s="12"/>
      <c r="T1426" s="12"/>
      <c r="U1426" s="10" t="str">
        <f>HYPERLINK("https://pbs.twimg.com/profile_images/867004705997815808/ix8YmEyh.jpg","View")</f>
        <v>View</v>
      </c>
    </row>
    <row r="1427" spans="1:21" ht="40.799999999999997">
      <c r="A1427" s="6">
        <v>43423.64025462963</v>
      </c>
      <c r="B1427" s="7" t="str">
        <f>HYPERLINK("https://twitter.com/ESCORPIO771","@ESCORPIO771")</f>
        <v>@ESCORPIO771</v>
      </c>
      <c r="C1427" s="8" t="s">
        <v>5139</v>
      </c>
      <c r="D1427" s="9" t="s">
        <v>5140</v>
      </c>
      <c r="E1427" s="10" t="str">
        <f>HYPERLINK("https://twitter.com/ESCORPIO771/status/1064660080887504897","1064660080887504897")</f>
        <v>1064660080887504897</v>
      </c>
      <c r="F1427" s="17" t="s">
        <v>5141</v>
      </c>
      <c r="G1427" s="12"/>
      <c r="H1427" s="12"/>
      <c r="I1427" s="13">
        <v>0</v>
      </c>
      <c r="J1427" s="13">
        <v>0</v>
      </c>
      <c r="K1427" s="14" t="str">
        <f t="shared" ref="K1427:K1428" si="258">HYPERLINK("http://twitter.com","Twitter Web Client")</f>
        <v>Twitter Web Client</v>
      </c>
      <c r="L1427" s="13">
        <v>282</v>
      </c>
      <c r="M1427" s="13">
        <v>279</v>
      </c>
      <c r="N1427" s="13">
        <v>6</v>
      </c>
      <c r="O1427" s="15"/>
      <c r="P1427" s="6">
        <v>42472.475405092591</v>
      </c>
      <c r="Q1427" s="17" t="s">
        <v>160</v>
      </c>
      <c r="R1427" s="16" t="s">
        <v>5142</v>
      </c>
      <c r="S1427" s="12"/>
      <c r="T1427" s="12"/>
      <c r="U1427" s="19" t="s">
        <v>368</v>
      </c>
    </row>
    <row r="1428" spans="1:21" ht="30.6">
      <c r="A1428" s="6">
        <v>43423.635254629626</v>
      </c>
      <c r="B1428" s="7" t="str">
        <f>HYPERLINK("https://twitter.com/ViajeroMallorca","@ViajeroMallorca")</f>
        <v>@ViajeroMallorca</v>
      </c>
      <c r="C1428" s="8" t="s">
        <v>5143</v>
      </c>
      <c r="D1428" s="9" t="s">
        <v>5144</v>
      </c>
      <c r="E1428" s="10" t="str">
        <f>HYPERLINK("https://twitter.com/ViajeroMallorca/status/1064658269300539392","1064658269300539392")</f>
        <v>1064658269300539392</v>
      </c>
      <c r="F1428" s="12"/>
      <c r="G1428" s="11" t="s">
        <v>5145</v>
      </c>
      <c r="H1428" s="12"/>
      <c r="I1428" s="13">
        <v>2</v>
      </c>
      <c r="J1428" s="13">
        <v>1</v>
      </c>
      <c r="K1428" s="14" t="str">
        <f t="shared" si="258"/>
        <v>Twitter Web Client</v>
      </c>
      <c r="L1428" s="13">
        <v>487</v>
      </c>
      <c r="M1428" s="13">
        <v>827</v>
      </c>
      <c r="N1428" s="13">
        <v>9</v>
      </c>
      <c r="O1428" s="15"/>
      <c r="P1428" s="6">
        <v>42426.497164351851</v>
      </c>
      <c r="Q1428" s="12"/>
      <c r="R1428" s="18"/>
      <c r="S1428" s="12"/>
      <c r="T1428" s="12"/>
      <c r="U1428" s="10" t="str">
        <f>HYPERLINK("https://pbs.twimg.com/profile_images/703308007367639040/7rm_7imc.jpg","View")</f>
        <v>View</v>
      </c>
    </row>
    <row r="1429" spans="1:21" ht="40.799999999999997">
      <c r="A1429" s="6">
        <v>43423.633680555555</v>
      </c>
      <c r="B1429" s="7" t="str">
        <f>HYPERLINK("https://twitter.com/saraelisa___","@saraelisa___")</f>
        <v>@saraelisa___</v>
      </c>
      <c r="C1429" s="8" t="s">
        <v>5146</v>
      </c>
      <c r="D1429" s="9" t="s">
        <v>5147</v>
      </c>
      <c r="E1429" s="10" t="str">
        <f>HYPERLINK("https://twitter.com/saraelisa___/status/1064657698220843008","1064657698220843008")</f>
        <v>1064657698220843008</v>
      </c>
      <c r="F1429" s="12"/>
      <c r="G1429" s="11" t="s">
        <v>5148</v>
      </c>
      <c r="H1429" s="12"/>
      <c r="I1429" s="13">
        <v>0</v>
      </c>
      <c r="J1429" s="13">
        <v>0</v>
      </c>
      <c r="K1429" s="14" t="str">
        <f>HYPERLINK("http://twitter.com/download/android","Twitter for Android")</f>
        <v>Twitter for Android</v>
      </c>
      <c r="L1429" s="13">
        <v>404</v>
      </c>
      <c r="M1429" s="13">
        <v>127</v>
      </c>
      <c r="N1429" s="13">
        <v>3</v>
      </c>
      <c r="O1429" s="15"/>
      <c r="P1429" s="6">
        <v>40032.555601851855</v>
      </c>
      <c r="Q1429" s="17" t="s">
        <v>26</v>
      </c>
      <c r="R1429" s="16" t="s">
        <v>5149</v>
      </c>
      <c r="S1429" s="12"/>
      <c r="T1429" s="12"/>
      <c r="U1429" s="10" t="str">
        <f>HYPERLINK("https://pbs.twimg.com/profile_images/1064283488482983937/_rGq51zJ.jpg","View")</f>
        <v>View</v>
      </c>
    </row>
    <row r="1430" spans="1:21" ht="30.6">
      <c r="A1430" s="6">
        <v>43423.632581018523</v>
      </c>
      <c r="B1430" s="7" t="str">
        <f>HYPERLINK("https://twitter.com/ManuelBudio","@ManuelBudio")</f>
        <v>@ManuelBudio</v>
      </c>
      <c r="C1430" s="8" t="s">
        <v>5150</v>
      </c>
      <c r="D1430" s="21" t="s">
        <v>5151</v>
      </c>
      <c r="E1430" s="10" t="str">
        <f>HYPERLINK("https://twitter.com/ManuelBudio/status/1064657300974170112","1064657300974170112")</f>
        <v>1064657300974170112</v>
      </c>
      <c r="F1430" s="11" t="s">
        <v>5152</v>
      </c>
      <c r="G1430" s="12"/>
      <c r="H1430" s="12"/>
      <c r="I1430" s="13">
        <v>0</v>
      </c>
      <c r="J1430" s="13">
        <v>0</v>
      </c>
      <c r="K1430" s="14" t="str">
        <f t="shared" ref="K1430:K1434" si="259">HYPERLINK("http://twitter.com","Twitter Web Client")</f>
        <v>Twitter Web Client</v>
      </c>
      <c r="L1430" s="13">
        <v>3322</v>
      </c>
      <c r="M1430" s="13">
        <v>3375</v>
      </c>
      <c r="N1430" s="13">
        <v>52</v>
      </c>
      <c r="O1430" s="15"/>
      <c r="P1430" s="6">
        <v>41758.264456018514</v>
      </c>
      <c r="Q1430" s="12"/>
      <c r="R1430" s="18"/>
      <c r="S1430" s="12"/>
      <c r="T1430" s="12"/>
      <c r="U1430" s="10" t="str">
        <f>HYPERLINK("https://pbs.twimg.com/profile_images/461133824366104576/laIkQZCn.jpeg","View")</f>
        <v>View</v>
      </c>
    </row>
    <row r="1431" spans="1:21" ht="30.6">
      <c r="A1431" s="6">
        <v>43423.6325462963</v>
      </c>
      <c r="B1431" s="7" t="str">
        <f>HYPERLINK("https://twitter.com/OscarMuS","@OscarMuS")</f>
        <v>@OscarMuS</v>
      </c>
      <c r="C1431" s="8" t="s">
        <v>5153</v>
      </c>
      <c r="D1431" s="9" t="s">
        <v>5154</v>
      </c>
      <c r="E1431" s="10" t="str">
        <f>HYPERLINK("https://twitter.com/OscarMuS/status/1064657286210248704","1064657286210248704")</f>
        <v>1064657286210248704</v>
      </c>
      <c r="F1431" s="11" t="s">
        <v>2767</v>
      </c>
      <c r="G1431" s="12"/>
      <c r="H1431" s="12"/>
      <c r="I1431" s="13">
        <v>1</v>
      </c>
      <c r="J1431" s="13">
        <v>1</v>
      </c>
      <c r="K1431" s="14" t="str">
        <f t="shared" si="259"/>
        <v>Twitter Web Client</v>
      </c>
      <c r="L1431" s="13">
        <v>453</v>
      </c>
      <c r="M1431" s="13">
        <v>1771</v>
      </c>
      <c r="N1431" s="13">
        <v>22</v>
      </c>
      <c r="O1431" s="15"/>
      <c r="P1431" s="6">
        <v>39901.532743055555</v>
      </c>
      <c r="Q1431" s="17" t="s">
        <v>419</v>
      </c>
      <c r="R1431" s="18"/>
      <c r="S1431" s="12"/>
      <c r="T1431" s="12"/>
      <c r="U1431" s="10" t="str">
        <f>HYPERLINK("https://pbs.twimg.com/profile_images/973205470201696256/WIHHPsgS.jpg","View")</f>
        <v>View</v>
      </c>
    </row>
    <row r="1432" spans="1:21" ht="30.6">
      <c r="A1432" s="6">
        <v>43423.630752314813</v>
      </c>
      <c r="B1432" s="7" t="str">
        <f>HYPERLINK("https://twitter.com/Agustin_Martin","@Agustin_Martin")</f>
        <v>@Agustin_Martin</v>
      </c>
      <c r="C1432" s="8" t="s">
        <v>5155</v>
      </c>
      <c r="D1432" s="9" t="s">
        <v>5156</v>
      </c>
      <c r="E1432" s="10" t="str">
        <f>HYPERLINK("https://twitter.com/Agustin_Martin/status/1064656638966140928","1064656638966140928")</f>
        <v>1064656638966140928</v>
      </c>
      <c r="F1432" s="11" t="s">
        <v>5157</v>
      </c>
      <c r="G1432" s="12"/>
      <c r="H1432" s="12"/>
      <c r="I1432" s="13">
        <v>0</v>
      </c>
      <c r="J1432" s="13">
        <v>0</v>
      </c>
      <c r="K1432" s="14" t="str">
        <f t="shared" si="259"/>
        <v>Twitter Web Client</v>
      </c>
      <c r="L1432" s="13">
        <v>2475</v>
      </c>
      <c r="M1432" s="13">
        <v>1193</v>
      </c>
      <c r="N1432" s="13">
        <v>105</v>
      </c>
      <c r="O1432" s="15"/>
      <c r="P1432" s="6">
        <v>40032.153645833336</v>
      </c>
      <c r="Q1432" s="17" t="s">
        <v>5158</v>
      </c>
      <c r="R1432" s="16" t="s">
        <v>5159</v>
      </c>
      <c r="S1432" s="11" t="s">
        <v>5160</v>
      </c>
      <c r="T1432" s="12"/>
      <c r="U1432" s="10" t="str">
        <f>HYPERLINK("https://pbs.twimg.com/profile_images/971099018167246848/LG9QEuss.jpg","View")</f>
        <v>View</v>
      </c>
    </row>
    <row r="1433" spans="1:21" ht="51">
      <c r="A1433" s="6">
        <v>43423.629907407405</v>
      </c>
      <c r="B1433" s="7" t="str">
        <f>HYPERLINK("https://twitter.com/marianozurdo","@marianozurdo")</f>
        <v>@marianozurdo</v>
      </c>
      <c r="C1433" s="8" t="s">
        <v>5161</v>
      </c>
      <c r="D1433" s="9" t="s">
        <v>5162</v>
      </c>
      <c r="E1433" s="10" t="str">
        <f>HYPERLINK("https://twitter.com/marianozurdo/status/1064656332001894400","1064656332001894400")</f>
        <v>1064656332001894400</v>
      </c>
      <c r="F1433" s="12"/>
      <c r="G1433" s="12"/>
      <c r="H1433" s="12"/>
      <c r="I1433" s="13">
        <v>1</v>
      </c>
      <c r="J1433" s="13">
        <v>0</v>
      </c>
      <c r="K1433" s="14" t="str">
        <f t="shared" si="259"/>
        <v>Twitter Web Client</v>
      </c>
      <c r="L1433" s="13">
        <v>959</v>
      </c>
      <c r="M1433" s="13">
        <v>1647</v>
      </c>
      <c r="N1433" s="13">
        <v>51</v>
      </c>
      <c r="O1433" s="15"/>
      <c r="P1433" s="6">
        <v>40265.360914351855</v>
      </c>
      <c r="Q1433" s="17" t="s">
        <v>971</v>
      </c>
      <c r="R1433" s="16" t="s">
        <v>5163</v>
      </c>
      <c r="S1433" s="11" t="s">
        <v>5164</v>
      </c>
      <c r="T1433" s="12"/>
      <c r="U1433" s="10" t="str">
        <f>HYPERLINK("https://pbs.twimg.com/profile_images/602748506160439296/o2IL_6M6.jpg","View")</f>
        <v>View</v>
      </c>
    </row>
    <row r="1434" spans="1:21" ht="40.799999999999997">
      <c r="A1434" s="6">
        <v>43423.626215277778</v>
      </c>
      <c r="B1434" s="7" t="str">
        <f>HYPERLINK("https://twitter.com/LfilodelabrechA","@LfilodelabrechA")</f>
        <v>@LfilodelabrechA</v>
      </c>
      <c r="C1434" s="8" t="s">
        <v>1623</v>
      </c>
      <c r="D1434" s="9" t="s">
        <v>5165</v>
      </c>
      <c r="E1434" s="10" t="str">
        <f>HYPERLINK("https://twitter.com/LfilodelabrechA/status/1064654995553959936","1064654995553959936")</f>
        <v>1064654995553959936</v>
      </c>
      <c r="F1434" s="12"/>
      <c r="G1434" s="12"/>
      <c r="H1434" s="12"/>
      <c r="I1434" s="13">
        <v>2</v>
      </c>
      <c r="J1434" s="13">
        <v>8</v>
      </c>
      <c r="K1434" s="14" t="str">
        <f t="shared" si="259"/>
        <v>Twitter Web Client</v>
      </c>
      <c r="L1434" s="13">
        <v>21281</v>
      </c>
      <c r="M1434" s="13">
        <v>16077</v>
      </c>
      <c r="N1434" s="13">
        <v>155</v>
      </c>
      <c r="O1434" s="15"/>
      <c r="P1434" s="6">
        <v>41994.814953703702</v>
      </c>
      <c r="Q1434" s="17" t="s">
        <v>1625</v>
      </c>
      <c r="R1434" s="16" t="s">
        <v>1626</v>
      </c>
      <c r="S1434" s="11" t="s">
        <v>1627</v>
      </c>
      <c r="T1434" s="12"/>
      <c r="U1434" s="10" t="str">
        <f>HYPERLINK("https://pbs.twimg.com/profile_images/1015231495512915968/1SaMhOsw.jpg","View")</f>
        <v>View</v>
      </c>
    </row>
    <row r="1435" spans="1:21" ht="71.400000000000006">
      <c r="A1435" s="6">
        <v>43423.623483796298</v>
      </c>
      <c r="B1435" s="7" t="str">
        <f>HYPERLINK("https://twitter.com/iraia23","@iraia23")</f>
        <v>@iraia23</v>
      </c>
      <c r="C1435" s="8" t="s">
        <v>5166</v>
      </c>
      <c r="D1435" s="9" t="s">
        <v>5167</v>
      </c>
      <c r="E1435" s="10" t="str">
        <f>HYPERLINK("https://twitter.com/iraia23/status/1064654003970150401","1064654003970150401")</f>
        <v>1064654003970150401</v>
      </c>
      <c r="F1435" s="11" t="s">
        <v>5168</v>
      </c>
      <c r="G1435" s="12"/>
      <c r="H1435" s="12"/>
      <c r="I1435" s="13">
        <v>0</v>
      </c>
      <c r="J1435" s="13">
        <v>3</v>
      </c>
      <c r="K1435" s="14" t="str">
        <f t="shared" ref="K1435:K1437" si="260">HYPERLINK("http://twitter.com/download/android","Twitter for Android")</f>
        <v>Twitter for Android</v>
      </c>
      <c r="L1435" s="13">
        <v>209</v>
      </c>
      <c r="M1435" s="13">
        <v>207</v>
      </c>
      <c r="N1435" s="13">
        <v>0</v>
      </c>
      <c r="O1435" s="15"/>
      <c r="P1435" s="6">
        <v>41537.520856481482</v>
      </c>
      <c r="Q1435" s="12"/>
      <c r="R1435" s="16" t="s">
        <v>5169</v>
      </c>
      <c r="S1435" s="12"/>
      <c r="T1435" s="12"/>
      <c r="U1435" s="10" t="str">
        <f>HYPERLINK("https://pbs.twimg.com/profile_images/1034130136449392641/q3j_QrT9.jpg","View")</f>
        <v>View</v>
      </c>
    </row>
    <row r="1436" spans="1:21" ht="30.6">
      <c r="A1436" s="6">
        <v>43423.622650462959</v>
      </c>
      <c r="B1436" s="7" t="str">
        <f>HYPERLINK("https://twitter.com/J_ParraG","@J_ParraG")</f>
        <v>@J_ParraG</v>
      </c>
      <c r="C1436" s="8" t="s">
        <v>5170</v>
      </c>
      <c r="D1436" s="9" t="s">
        <v>5171</v>
      </c>
      <c r="E1436" s="10" t="str">
        <f>HYPERLINK("https://twitter.com/J_ParraG/status/1064653700545855489","1064653700545855489")</f>
        <v>1064653700545855489</v>
      </c>
      <c r="F1436" s="11" t="s">
        <v>3031</v>
      </c>
      <c r="G1436" s="12"/>
      <c r="H1436" s="12"/>
      <c r="I1436" s="13">
        <v>0</v>
      </c>
      <c r="J1436" s="13">
        <v>0</v>
      </c>
      <c r="K1436" s="14" t="str">
        <f t="shared" si="260"/>
        <v>Twitter for Android</v>
      </c>
      <c r="L1436" s="13">
        <v>380</v>
      </c>
      <c r="M1436" s="13">
        <v>967</v>
      </c>
      <c r="N1436" s="13">
        <v>14</v>
      </c>
      <c r="O1436" s="15"/>
      <c r="P1436" s="6">
        <v>40918.578576388885</v>
      </c>
      <c r="Q1436" s="17" t="s">
        <v>5172</v>
      </c>
      <c r="R1436" s="16" t="s">
        <v>5173</v>
      </c>
      <c r="S1436" s="12"/>
      <c r="T1436" s="12"/>
      <c r="U1436" s="10" t="str">
        <f>HYPERLINK("https://pbs.twimg.com/profile_images/1048291555134656513/KPn63Fw4.jpg","View")</f>
        <v>View</v>
      </c>
    </row>
    <row r="1437" spans="1:21" ht="20.399999999999999">
      <c r="A1437" s="6">
        <v>43423.620567129634</v>
      </c>
      <c r="B1437" s="7" t="str">
        <f>HYPERLINK("https://twitter.com/ferpectamente","@ferpectamente")</f>
        <v>@ferpectamente</v>
      </c>
      <c r="C1437" s="8" t="s">
        <v>572</v>
      </c>
      <c r="D1437" s="9" t="s">
        <v>5174</v>
      </c>
      <c r="E1437" s="10" t="str">
        <f>HYPERLINK("https://twitter.com/ferpectamente/status/1064652945466294274","1064652945466294274")</f>
        <v>1064652945466294274</v>
      </c>
      <c r="F1437" s="12"/>
      <c r="G1437" s="12"/>
      <c r="H1437" s="12"/>
      <c r="I1437" s="13">
        <v>0</v>
      </c>
      <c r="J1437" s="13">
        <v>0</v>
      </c>
      <c r="K1437" s="14" t="str">
        <f t="shared" si="260"/>
        <v>Twitter for Android</v>
      </c>
      <c r="L1437" s="13">
        <v>1107</v>
      </c>
      <c r="M1437" s="13">
        <v>984</v>
      </c>
      <c r="N1437" s="13">
        <v>34</v>
      </c>
      <c r="O1437" s="15"/>
      <c r="P1437" s="6">
        <v>39187.100231481483</v>
      </c>
      <c r="Q1437" s="17" t="s">
        <v>579</v>
      </c>
      <c r="R1437" s="16" t="s">
        <v>580</v>
      </c>
      <c r="S1437" s="12"/>
      <c r="T1437" s="12"/>
      <c r="U1437" s="10" t="str">
        <f>HYPERLINK("https://pbs.twimg.com/profile_images/826852103276658689/21JYc9J_.jpg","View")</f>
        <v>View</v>
      </c>
    </row>
    <row r="1438" spans="1:21" ht="40.799999999999997">
      <c r="A1438" s="6">
        <v>43423.618657407409</v>
      </c>
      <c r="B1438" s="7" t="str">
        <f>HYPERLINK("https://twitter.com/jorgenavasalejo","@jorgenavasalejo")</f>
        <v>@jorgenavasalejo</v>
      </c>
      <c r="C1438" s="8" t="s">
        <v>5175</v>
      </c>
      <c r="D1438" s="9" t="s">
        <v>5176</v>
      </c>
      <c r="E1438" s="10" t="str">
        <f>HYPERLINK("https://twitter.com/jorgenavasalejo/status/1064652255280984065","1064652255280984065")</f>
        <v>1064652255280984065</v>
      </c>
      <c r="F1438" s="12"/>
      <c r="G1438" s="12"/>
      <c r="H1438" s="12"/>
      <c r="I1438" s="13">
        <v>6</v>
      </c>
      <c r="J1438" s="13">
        <v>5</v>
      </c>
      <c r="K1438" s="14" t="str">
        <f>HYPERLINK("https://about.twitter.com/products/tweetdeck","TweetDeck")</f>
        <v>TweetDeck</v>
      </c>
      <c r="L1438" s="13">
        <v>4023</v>
      </c>
      <c r="M1438" s="13">
        <v>3093</v>
      </c>
      <c r="N1438" s="13">
        <v>177</v>
      </c>
      <c r="O1438" s="15"/>
      <c r="P1438" s="6">
        <v>39477.522534722222</v>
      </c>
      <c r="Q1438" s="17" t="s">
        <v>5177</v>
      </c>
      <c r="R1438" s="16" t="s">
        <v>5178</v>
      </c>
      <c r="S1438" s="11" t="s">
        <v>5179</v>
      </c>
      <c r="T1438" s="12"/>
      <c r="U1438" s="10" t="str">
        <f>HYPERLINK("https://pbs.twimg.com/profile_images/763107560459268097/_jM-C0BF.jpg","View")</f>
        <v>View</v>
      </c>
    </row>
    <row r="1439" spans="1:21" ht="20.399999999999999">
      <c r="A1439" s="6">
        <v>43423.618090277778</v>
      </c>
      <c r="B1439" s="7" t="str">
        <f>HYPERLINK("https://twitter.com/gara_ice","@gara_ice")</f>
        <v>@gara_ice</v>
      </c>
      <c r="C1439" s="8" t="s">
        <v>5180</v>
      </c>
      <c r="D1439" s="9" t="s">
        <v>5181</v>
      </c>
      <c r="E1439" s="10" t="str">
        <f>HYPERLINK("https://twitter.com/gara_ice/status/1064652047511883776","1064652047511883776")</f>
        <v>1064652047511883776</v>
      </c>
      <c r="F1439" s="11" t="s">
        <v>5182</v>
      </c>
      <c r="G1439" s="12"/>
      <c r="H1439" s="12"/>
      <c r="I1439" s="13">
        <v>0</v>
      </c>
      <c r="J1439" s="13">
        <v>0</v>
      </c>
      <c r="K1439" s="14" t="str">
        <f>HYPERLINK("https://ifttt.com","IFTTT")</f>
        <v>IFTTT</v>
      </c>
      <c r="L1439" s="13">
        <v>445</v>
      </c>
      <c r="M1439" s="13">
        <v>434</v>
      </c>
      <c r="N1439" s="13">
        <v>10</v>
      </c>
      <c r="O1439" s="15"/>
      <c r="P1439" s="6">
        <v>39590.060324074075</v>
      </c>
      <c r="Q1439" s="12"/>
      <c r="R1439" s="18"/>
      <c r="S1439" s="12"/>
      <c r="T1439" s="12"/>
      <c r="U1439" s="10" t="str">
        <f>HYPERLINK("https://pbs.twimg.com/profile_images/561850533468971008/-4f3cnLr.jpeg","View")</f>
        <v>View</v>
      </c>
    </row>
    <row r="1440" spans="1:21" ht="30.6">
      <c r="A1440" s="6">
        <v>43423.614479166667</v>
      </c>
      <c r="B1440" s="7" t="str">
        <f>HYPERLINK("https://twitter.com/Juanjorr90","@Juanjorr90")</f>
        <v>@Juanjorr90</v>
      </c>
      <c r="C1440" s="8" t="s">
        <v>5183</v>
      </c>
      <c r="D1440" s="9" t="s">
        <v>5184</v>
      </c>
      <c r="E1440" s="10" t="str">
        <f>HYPERLINK("https://twitter.com/Juanjorr90/status/1064650741770608641","1064650741770608641")</f>
        <v>1064650741770608641</v>
      </c>
      <c r="F1440" s="12"/>
      <c r="G1440" s="12"/>
      <c r="H1440" s="12"/>
      <c r="I1440" s="13">
        <v>0</v>
      </c>
      <c r="J1440" s="13">
        <v>0</v>
      </c>
      <c r="K1440" s="14" t="str">
        <f>HYPERLINK("http://twitter.com","Twitter Web Client")</f>
        <v>Twitter Web Client</v>
      </c>
      <c r="L1440" s="13">
        <v>504</v>
      </c>
      <c r="M1440" s="13">
        <v>661</v>
      </c>
      <c r="N1440" s="13">
        <v>6</v>
      </c>
      <c r="O1440" s="15"/>
      <c r="P1440" s="6">
        <v>40499.77957175926</v>
      </c>
      <c r="Q1440" s="17" t="s">
        <v>5185</v>
      </c>
      <c r="R1440" s="16" t="s">
        <v>5186</v>
      </c>
      <c r="S1440" s="12"/>
      <c r="T1440" s="12"/>
      <c r="U1440" s="10" t="str">
        <f>HYPERLINK("https://pbs.twimg.com/profile_images/889324627725570048/zHy_wKvd.jpg","View")</f>
        <v>View</v>
      </c>
    </row>
    <row r="1441" spans="1:21" ht="20.399999999999999">
      <c r="A1441" s="6">
        <v>43423.612210648149</v>
      </c>
      <c r="B1441" s="7" t="str">
        <f t="shared" ref="B1441:B1442" si="261">HYPERLINK("https://twitter.com/DisgustingCorps","@DisgustingCorps")</f>
        <v>@DisgustingCorps</v>
      </c>
      <c r="C1441" s="8" t="s">
        <v>5187</v>
      </c>
      <c r="D1441" s="9" t="s">
        <v>5188</v>
      </c>
      <c r="E1441" s="10" t="str">
        <f>HYPERLINK("https://twitter.com/DisgustingCorps/status/1064649918265131009","1064649918265131009")</f>
        <v>1064649918265131009</v>
      </c>
      <c r="F1441" s="12"/>
      <c r="G1441" s="12"/>
      <c r="H1441" s="12"/>
      <c r="I1441" s="13">
        <v>0</v>
      </c>
      <c r="J1441" s="13">
        <v>1</v>
      </c>
      <c r="K1441" s="14" t="str">
        <f t="shared" ref="K1441:K1443" si="262">HYPERLINK("http://twitter.com/download/android","Twitter for Android")</f>
        <v>Twitter for Android</v>
      </c>
      <c r="L1441" s="13">
        <v>168</v>
      </c>
      <c r="M1441" s="13">
        <v>582</v>
      </c>
      <c r="N1441" s="13">
        <v>2</v>
      </c>
      <c r="O1441" s="15"/>
      <c r="P1441" s="6">
        <v>41293.450949074075</v>
      </c>
      <c r="Q1441" s="12"/>
      <c r="R1441" s="16" t="s">
        <v>5189</v>
      </c>
      <c r="S1441" s="12"/>
      <c r="T1441" s="12"/>
      <c r="U1441" s="10" t="str">
        <f t="shared" ref="U1441:U1442" si="263">HYPERLINK("https://pbs.twimg.com/profile_images/910038266119905280/ABH0YDvz.jpg","View")</f>
        <v>View</v>
      </c>
    </row>
    <row r="1442" spans="1:21" ht="40.799999999999997">
      <c r="A1442" s="6">
        <v>43423.611574074079</v>
      </c>
      <c r="B1442" s="7" t="str">
        <f t="shared" si="261"/>
        <v>@DisgustingCorps</v>
      </c>
      <c r="C1442" s="8" t="s">
        <v>5187</v>
      </c>
      <c r="D1442" s="9" t="s">
        <v>5190</v>
      </c>
      <c r="E1442" s="10" t="str">
        <f>HYPERLINK("https://twitter.com/DisgustingCorps/status/1064649689973309447","1064649689973309447")</f>
        <v>1064649689973309447</v>
      </c>
      <c r="F1442" s="12"/>
      <c r="G1442" s="12"/>
      <c r="H1442" s="12"/>
      <c r="I1442" s="13">
        <v>0</v>
      </c>
      <c r="J1442" s="13">
        <v>0</v>
      </c>
      <c r="K1442" s="14" t="str">
        <f t="shared" si="262"/>
        <v>Twitter for Android</v>
      </c>
      <c r="L1442" s="13">
        <v>168</v>
      </c>
      <c r="M1442" s="13">
        <v>582</v>
      </c>
      <c r="N1442" s="13">
        <v>2</v>
      </c>
      <c r="O1442" s="15"/>
      <c r="P1442" s="6">
        <v>41293.450949074075</v>
      </c>
      <c r="Q1442" s="12"/>
      <c r="R1442" s="16" t="s">
        <v>5189</v>
      </c>
      <c r="S1442" s="12"/>
      <c r="T1442" s="12"/>
      <c r="U1442" s="10" t="str">
        <f t="shared" si="263"/>
        <v>View</v>
      </c>
    </row>
    <row r="1443" spans="1:21" ht="40.799999999999997">
      <c r="A1443" s="6">
        <v>43423.609629629631</v>
      </c>
      <c r="B1443" s="7" t="str">
        <f>HYPERLINK("https://twitter.com/mikihoyos","@mikihoyos")</f>
        <v>@mikihoyos</v>
      </c>
      <c r="C1443" s="8" t="s">
        <v>2528</v>
      </c>
      <c r="D1443" s="9" t="s">
        <v>5191</v>
      </c>
      <c r="E1443" s="10" t="str">
        <f>HYPERLINK("https://twitter.com/mikihoyos/status/1064648981769273345","1064648981769273345")</f>
        <v>1064648981769273345</v>
      </c>
      <c r="F1443" s="11" t="s">
        <v>4018</v>
      </c>
      <c r="G1443" s="12"/>
      <c r="H1443" s="12"/>
      <c r="I1443" s="13">
        <v>38</v>
      </c>
      <c r="J1443" s="13">
        <v>15</v>
      </c>
      <c r="K1443" s="14" t="str">
        <f t="shared" si="262"/>
        <v>Twitter for Android</v>
      </c>
      <c r="L1443" s="13">
        <v>9392</v>
      </c>
      <c r="M1443" s="13">
        <v>7648</v>
      </c>
      <c r="N1443" s="13">
        <v>165</v>
      </c>
      <c r="O1443" s="15"/>
      <c r="P1443" s="6">
        <v>40661.039722222224</v>
      </c>
      <c r="Q1443" s="17" t="s">
        <v>550</v>
      </c>
      <c r="R1443" s="16" t="s">
        <v>2531</v>
      </c>
      <c r="S1443" s="12"/>
      <c r="T1443" s="12"/>
      <c r="U1443" s="10" t="str">
        <f>HYPERLINK("https://pbs.twimg.com/profile_images/1063758308039950336/Fv-CE235.jpg","View")</f>
        <v>View</v>
      </c>
    </row>
    <row r="1444" spans="1:21" ht="20.399999999999999">
      <c r="A1444" s="6">
        <v>43423.605034722219</v>
      </c>
      <c r="B1444" s="7" t="str">
        <f>HYPERLINK("https://twitter.com/25Alvaradophu","@25Alvaradophu")</f>
        <v>@25Alvaradophu</v>
      </c>
      <c r="C1444" s="8" t="s">
        <v>5192</v>
      </c>
      <c r="D1444" s="9" t="s">
        <v>5086</v>
      </c>
      <c r="E1444" s="10" t="str">
        <f>HYPERLINK("https://twitter.com/25Alvaradophu/status/1064647319109410822","1064647319109410822")</f>
        <v>1064647319109410822</v>
      </c>
      <c r="F1444" s="11" t="s">
        <v>5087</v>
      </c>
      <c r="G1444" s="12"/>
      <c r="H1444" s="12"/>
      <c r="I1444" s="13">
        <v>0</v>
      </c>
      <c r="J1444" s="13">
        <v>0</v>
      </c>
      <c r="K1444" s="14" t="str">
        <f>HYPERLINK("http://twitter.com","Twitter Web Client")</f>
        <v>Twitter Web Client</v>
      </c>
      <c r="L1444" s="13">
        <v>626</v>
      </c>
      <c r="M1444" s="13">
        <v>1991</v>
      </c>
      <c r="N1444" s="13">
        <v>0</v>
      </c>
      <c r="O1444" s="15"/>
      <c r="P1444" s="6">
        <v>43054.442557870367</v>
      </c>
      <c r="Q1444" s="12"/>
      <c r="R1444" s="18"/>
      <c r="S1444" s="12"/>
      <c r="T1444" s="12"/>
      <c r="U1444" s="10" t="str">
        <f>HYPERLINK("https://pbs.twimg.com/profile_images/940222647857659905/De9O-syA.jpg","View")</f>
        <v>View</v>
      </c>
    </row>
    <row r="1445" spans="1:21" ht="40.799999999999997">
      <c r="A1445" s="6">
        <v>43423.604166666672</v>
      </c>
      <c r="B1445" s="7" t="str">
        <f>HYPERLINK("https://twitter.com/El_Intermedio","@El_Intermedio")</f>
        <v>@El_Intermedio</v>
      </c>
      <c r="C1445" s="8" t="s">
        <v>4005</v>
      </c>
      <c r="D1445" s="9" t="s">
        <v>5193</v>
      </c>
      <c r="E1445" s="10" t="str">
        <f>HYPERLINK("https://twitter.com/El_Intermedio/status/1064647002410139649","1064647002410139649")</f>
        <v>1064647002410139649</v>
      </c>
      <c r="F1445" s="11" t="s">
        <v>5194</v>
      </c>
      <c r="G1445" s="12"/>
      <c r="H1445" s="12"/>
      <c r="I1445" s="13">
        <v>22</v>
      </c>
      <c r="J1445" s="13">
        <v>50</v>
      </c>
      <c r="K1445" s="14" t="str">
        <f>HYPERLINK("http://dogtrack.es","DogTrack_Oficial")</f>
        <v>DogTrack_Oficial</v>
      </c>
      <c r="L1445" s="13">
        <v>1009813</v>
      </c>
      <c r="M1445" s="13">
        <v>1771</v>
      </c>
      <c r="N1445" s="13">
        <v>4849</v>
      </c>
      <c r="O1445" s="19" t="s">
        <v>74</v>
      </c>
      <c r="P1445" s="6">
        <v>39692.110879629632</v>
      </c>
      <c r="Q1445" s="17" t="s">
        <v>29</v>
      </c>
      <c r="R1445" s="16" t="s">
        <v>4009</v>
      </c>
      <c r="S1445" s="11" t="s">
        <v>4010</v>
      </c>
      <c r="T1445" s="12"/>
      <c r="U1445" s="10" t="str">
        <f>HYPERLINK("https://pbs.twimg.com/profile_images/1037049026523348992/kW9y-kbu.jpg","View")</f>
        <v>View</v>
      </c>
    </row>
    <row r="1446" spans="1:21" ht="20.399999999999999">
      <c r="A1446" s="6">
        <v>43423.600821759261</v>
      </c>
      <c r="B1446" s="7" t="str">
        <f>HYPERLINK("https://twitter.com/FerFRouco","@FerFRouco")</f>
        <v>@FerFRouco</v>
      </c>
      <c r="C1446" s="8" t="s">
        <v>5195</v>
      </c>
      <c r="D1446" s="9" t="s">
        <v>5196</v>
      </c>
      <c r="E1446" s="10" t="str">
        <f>HYPERLINK("https://twitter.com/FerFRouco/status/1064645791447478272","1064645791447478272")</f>
        <v>1064645791447478272</v>
      </c>
      <c r="F1446" s="12"/>
      <c r="G1446" s="12"/>
      <c r="H1446" s="12"/>
      <c r="I1446" s="13">
        <v>0</v>
      </c>
      <c r="J1446" s="13">
        <v>2</v>
      </c>
      <c r="K1446" s="14" t="str">
        <f>HYPERLINK("http://twitter.com","Twitter Web Client")</f>
        <v>Twitter Web Client</v>
      </c>
      <c r="L1446" s="13">
        <v>363</v>
      </c>
      <c r="M1446" s="13">
        <v>554</v>
      </c>
      <c r="N1446" s="13">
        <v>1</v>
      </c>
      <c r="O1446" s="15"/>
      <c r="P1446" s="6">
        <v>40796.224074074074</v>
      </c>
      <c r="Q1446" s="17" t="s">
        <v>5197</v>
      </c>
      <c r="R1446" s="16" t="s">
        <v>5198</v>
      </c>
      <c r="S1446" s="12"/>
      <c r="T1446" s="12"/>
      <c r="U1446" s="10" t="str">
        <f>HYPERLINK("https://pbs.twimg.com/profile_images/1031265019466579975/ILugyZPS.jpg","View")</f>
        <v>View</v>
      </c>
    </row>
    <row r="1447" spans="1:21" ht="30.6">
      <c r="A1447" s="6">
        <v>43423.598125000004</v>
      </c>
      <c r="B1447" s="7" t="str">
        <f>HYPERLINK("https://twitter.com/DiegoAit","@DiegoAit")</f>
        <v>@DiegoAit</v>
      </c>
      <c r="C1447" s="8" t="s">
        <v>5199</v>
      </c>
      <c r="D1447" s="9" t="s">
        <v>5200</v>
      </c>
      <c r="E1447" s="10" t="str">
        <f>HYPERLINK("https://twitter.com/DiegoAit/status/1064644812119384066","1064644812119384066")</f>
        <v>1064644812119384066</v>
      </c>
      <c r="F1447" s="12"/>
      <c r="G1447" s="12"/>
      <c r="H1447" s="12"/>
      <c r="I1447" s="13">
        <v>1</v>
      </c>
      <c r="J1447" s="13">
        <v>0</v>
      </c>
      <c r="K1447" s="14" t="str">
        <f>HYPERLINK("http://twitter.com/download/android","Twitter for Android")</f>
        <v>Twitter for Android</v>
      </c>
      <c r="L1447" s="13">
        <v>698</v>
      </c>
      <c r="M1447" s="13">
        <v>927</v>
      </c>
      <c r="N1447" s="13">
        <v>6</v>
      </c>
      <c r="O1447" s="15"/>
      <c r="P1447" s="6">
        <v>40696.410370370373</v>
      </c>
      <c r="Q1447" s="12"/>
      <c r="R1447" s="16" t="s">
        <v>5201</v>
      </c>
      <c r="S1447" s="11" t="s">
        <v>5202</v>
      </c>
      <c r="T1447" s="12"/>
      <c r="U1447" s="10" t="str">
        <f>HYPERLINK("https://pbs.twimg.com/profile_images/892279181609971712/m2xQdCt8.jpg","View")</f>
        <v>View</v>
      </c>
    </row>
    <row r="1448" spans="1:21" ht="71.400000000000006">
      <c r="A1448" s="6">
        <v>43423.596944444449</v>
      </c>
      <c r="B1448" s="7" t="str">
        <f>HYPERLINK("https://twitter.com/FG72373327","@FG72373327")</f>
        <v>@FG72373327</v>
      </c>
      <c r="C1448" s="8" t="s">
        <v>3802</v>
      </c>
      <c r="D1448" s="9" t="s">
        <v>5203</v>
      </c>
      <c r="E1448" s="10" t="str">
        <f>HYPERLINK("https://twitter.com/FG72373327/status/1064644387722817537","1064644387722817537")</f>
        <v>1064644387722817537</v>
      </c>
      <c r="F1448" s="11" t="s">
        <v>5204</v>
      </c>
      <c r="G1448" s="12"/>
      <c r="H1448" s="12"/>
      <c r="I1448" s="13">
        <v>2</v>
      </c>
      <c r="J1448" s="13">
        <v>1</v>
      </c>
      <c r="K1448" s="14" t="str">
        <f>HYPERLINK("http://twitter.com/download/iphone","Twitter for iPhone")</f>
        <v>Twitter for iPhone</v>
      </c>
      <c r="L1448" s="13">
        <v>861</v>
      </c>
      <c r="M1448" s="13">
        <v>886</v>
      </c>
      <c r="N1448" s="13">
        <v>6</v>
      </c>
      <c r="O1448" s="15"/>
      <c r="P1448" s="6">
        <v>42977.021006944444</v>
      </c>
      <c r="Q1448" s="17" t="s">
        <v>26</v>
      </c>
      <c r="R1448" s="18"/>
      <c r="S1448" s="12"/>
      <c r="T1448" s="12"/>
      <c r="U1448" s="10" t="str">
        <f>HYPERLINK("https://pbs.twimg.com/profile_images/902802729009111040/RUuGyEn7.jpg","View")</f>
        <v>View</v>
      </c>
    </row>
    <row r="1449" spans="1:21" ht="51">
      <c r="A1449" s="6">
        <v>43423.596458333333</v>
      </c>
      <c r="B1449" s="7" t="str">
        <f>HYPERLINK("https://twitter.com/doblerhgr","@doblerhgr")</f>
        <v>@doblerhgr</v>
      </c>
      <c r="C1449" s="8" t="s">
        <v>5205</v>
      </c>
      <c r="D1449" s="9" t="s">
        <v>5206</v>
      </c>
      <c r="E1449" s="10" t="str">
        <f>HYPERLINK("https://twitter.com/doblerhgr/status/1064644210266128384","1064644210266128384")</f>
        <v>1064644210266128384</v>
      </c>
      <c r="F1449" s="12"/>
      <c r="G1449" s="11" t="s">
        <v>5207</v>
      </c>
      <c r="H1449" s="12"/>
      <c r="I1449" s="13">
        <v>1</v>
      </c>
      <c r="J1449" s="13">
        <v>0</v>
      </c>
      <c r="K1449" s="14" t="str">
        <f>HYPERLINK("http://twitter.com","Twitter Web Client")</f>
        <v>Twitter Web Client</v>
      </c>
      <c r="L1449" s="13">
        <v>1312</v>
      </c>
      <c r="M1449" s="13">
        <v>646</v>
      </c>
      <c r="N1449" s="13">
        <v>14</v>
      </c>
      <c r="O1449" s="15"/>
      <c r="P1449" s="6">
        <v>42582.249085648145</v>
      </c>
      <c r="Q1449" s="17" t="s">
        <v>2009</v>
      </c>
      <c r="R1449" s="16" t="s">
        <v>5208</v>
      </c>
      <c r="S1449" s="11" t="s">
        <v>5209</v>
      </c>
      <c r="T1449" s="12"/>
      <c r="U1449" s="10" t="str">
        <f>HYPERLINK("https://pbs.twimg.com/profile_images/947873918286815232/uEixjzO8.jpg","View")</f>
        <v>View</v>
      </c>
    </row>
    <row r="1450" spans="1:21" ht="20.399999999999999">
      <c r="A1450" s="6">
        <v>43423.596331018518</v>
      </c>
      <c r="B1450" s="7" t="str">
        <f>HYPERLINK("https://twitter.com/ElLlobu","@ElLlobu")</f>
        <v>@ElLlobu</v>
      </c>
      <c r="C1450" s="8" t="s">
        <v>5210</v>
      </c>
      <c r="D1450" s="9" t="s">
        <v>1940</v>
      </c>
      <c r="E1450" s="10" t="str">
        <f>HYPERLINK("https://twitter.com/ElLlobu/status/1064644164040695809","1064644164040695809")</f>
        <v>1064644164040695809</v>
      </c>
      <c r="F1450" s="11" t="s">
        <v>1941</v>
      </c>
      <c r="G1450" s="12"/>
      <c r="H1450" s="12"/>
      <c r="I1450" s="13">
        <v>0</v>
      </c>
      <c r="J1450" s="13">
        <v>0</v>
      </c>
      <c r="K1450" s="14" t="str">
        <f>HYPERLINK("http://www.facebook.com/twitter","Facebook")</f>
        <v>Facebook</v>
      </c>
      <c r="L1450" s="13">
        <v>140</v>
      </c>
      <c r="M1450" s="13">
        <v>256</v>
      </c>
      <c r="N1450" s="13">
        <v>2</v>
      </c>
      <c r="O1450" s="15"/>
      <c r="P1450" s="6">
        <v>40577.330821759257</v>
      </c>
      <c r="Q1450" s="17" t="s">
        <v>5211</v>
      </c>
      <c r="R1450" s="18"/>
      <c r="S1450" s="11" t="s">
        <v>5212</v>
      </c>
      <c r="T1450" s="12"/>
      <c r="U1450" s="10" t="str">
        <f>HYPERLINK("https://pbs.twimg.com/profile_images/1233767910/llub3_8080.jpg","View")</f>
        <v>View</v>
      </c>
    </row>
    <row r="1451" spans="1:21" ht="30.6">
      <c r="A1451" s="6">
        <v>43423.595335648148</v>
      </c>
      <c r="B1451" s="7" t="str">
        <f>HYPERLINK("https://twitter.com/Juanjorr90","@Juanjorr90")</f>
        <v>@Juanjorr90</v>
      </c>
      <c r="C1451" s="8" t="s">
        <v>5183</v>
      </c>
      <c r="D1451" s="9" t="s">
        <v>5213</v>
      </c>
      <c r="E1451" s="10" t="str">
        <f>HYPERLINK("https://twitter.com/Juanjorr90/status/1064643802156146694","1064643802156146694")</f>
        <v>1064643802156146694</v>
      </c>
      <c r="F1451" s="12"/>
      <c r="G1451" s="12"/>
      <c r="H1451" s="12"/>
      <c r="I1451" s="13">
        <v>0</v>
      </c>
      <c r="J1451" s="13">
        <v>0</v>
      </c>
      <c r="K1451" s="14" t="str">
        <f>HYPERLINK("http://twitter.com","Twitter Web Client")</f>
        <v>Twitter Web Client</v>
      </c>
      <c r="L1451" s="13">
        <v>504</v>
      </c>
      <c r="M1451" s="13">
        <v>661</v>
      </c>
      <c r="N1451" s="13">
        <v>6</v>
      </c>
      <c r="O1451" s="15"/>
      <c r="P1451" s="6">
        <v>40499.77957175926</v>
      </c>
      <c r="Q1451" s="17" t="s">
        <v>5185</v>
      </c>
      <c r="R1451" s="16" t="s">
        <v>5186</v>
      </c>
      <c r="S1451" s="12"/>
      <c r="T1451" s="12"/>
      <c r="U1451" s="10" t="str">
        <f>HYPERLINK("https://pbs.twimg.com/profile_images/889324627725570048/zHy_wKvd.jpg","View")</f>
        <v>View</v>
      </c>
    </row>
    <row r="1452" spans="1:21" ht="20.399999999999999">
      <c r="A1452" s="6">
        <v>43423.593194444446</v>
      </c>
      <c r="B1452" s="7" t="str">
        <f>HYPERLINK("https://twitter.com/pedrolafuga","@pedrolafuga")</f>
        <v>@pedrolafuga</v>
      </c>
      <c r="C1452" s="8" t="s">
        <v>5214</v>
      </c>
      <c r="D1452" s="9" t="s">
        <v>5215</v>
      </c>
      <c r="E1452" s="10" t="str">
        <f>HYPERLINK("https://twitter.com/pedrolafuga/status/1064643026339934208","1064643026339934208")</f>
        <v>1064643026339934208</v>
      </c>
      <c r="F1452" s="12"/>
      <c r="G1452" s="12"/>
      <c r="H1452" s="12"/>
      <c r="I1452" s="13">
        <v>3</v>
      </c>
      <c r="J1452" s="13">
        <v>10</v>
      </c>
      <c r="K1452" s="14" t="str">
        <f t="shared" ref="K1452:K1453" si="264">HYPERLINK("http://twitter.com/download/android","Twitter for Android")</f>
        <v>Twitter for Android</v>
      </c>
      <c r="L1452" s="13">
        <v>2248</v>
      </c>
      <c r="M1452" s="13">
        <v>219</v>
      </c>
      <c r="N1452" s="13">
        <v>14</v>
      </c>
      <c r="O1452" s="15"/>
      <c r="P1452" s="6">
        <v>41231.810520833329</v>
      </c>
      <c r="Q1452" s="12"/>
      <c r="R1452" s="16" t="s">
        <v>5216</v>
      </c>
      <c r="S1452" s="12"/>
      <c r="T1452" s="12"/>
      <c r="U1452" s="10" t="str">
        <f>HYPERLINK("https://pbs.twimg.com/profile_images/378800000231165891/0bb150436d7b6c6b23ca64ce3999fe3a.jpeg","View")</f>
        <v>View</v>
      </c>
    </row>
    <row r="1453" spans="1:21" ht="40.799999999999997">
      <c r="A1453" s="6">
        <v>43423.591493055559</v>
      </c>
      <c r="B1453" s="7" t="str">
        <f>HYPERLINK("https://twitter.com/Ayuso99Nacho","@Ayuso99Nacho")</f>
        <v>@Ayuso99Nacho</v>
      </c>
      <c r="C1453" s="8" t="s">
        <v>5217</v>
      </c>
      <c r="D1453" s="9" t="s">
        <v>5218</v>
      </c>
      <c r="E1453" s="10" t="str">
        <f>HYPERLINK("https://twitter.com/Ayuso99Nacho/status/1064642412402917376","1064642412402917376")</f>
        <v>1064642412402917376</v>
      </c>
      <c r="F1453" s="12"/>
      <c r="G1453" s="12"/>
      <c r="H1453" s="12"/>
      <c r="I1453" s="13">
        <v>0</v>
      </c>
      <c r="J1453" s="13">
        <v>0</v>
      </c>
      <c r="K1453" s="14" t="str">
        <f t="shared" si="264"/>
        <v>Twitter for Android</v>
      </c>
      <c r="L1453" s="13">
        <v>476</v>
      </c>
      <c r="M1453" s="13">
        <v>980</v>
      </c>
      <c r="N1453" s="13">
        <v>1</v>
      </c>
      <c r="O1453" s="15"/>
      <c r="P1453" s="6">
        <v>41459.400451388887</v>
      </c>
      <c r="Q1453" s="12"/>
      <c r="R1453" s="16" t="s">
        <v>5219</v>
      </c>
      <c r="S1453" s="12"/>
      <c r="T1453" s="12"/>
      <c r="U1453" s="10" t="str">
        <f>HYPERLINK("https://pbs.twimg.com/profile_images/951610047599083522/lmpkw6bB.jpg","View")</f>
        <v>View</v>
      </c>
    </row>
    <row r="1454" spans="1:21" ht="40.799999999999997">
      <c r="A1454" s="6">
        <v>43423.590381944443</v>
      </c>
      <c r="B1454" s="7" t="str">
        <f>HYPERLINK("https://twitter.com/TITOBENET","@TITOBENET")</f>
        <v>@TITOBENET</v>
      </c>
      <c r="C1454" s="8" t="s">
        <v>3361</v>
      </c>
      <c r="D1454" s="9" t="s">
        <v>4152</v>
      </c>
      <c r="E1454" s="10" t="str">
        <f>HYPERLINK("https://twitter.com/TITOBENET/status/1064642010236297222","1064642010236297222")</f>
        <v>1064642010236297222</v>
      </c>
      <c r="F1454" s="11" t="s">
        <v>5220</v>
      </c>
      <c r="G1454" s="12"/>
      <c r="H1454" s="12"/>
      <c r="I1454" s="13">
        <v>0</v>
      </c>
      <c r="J1454" s="13">
        <v>0</v>
      </c>
      <c r="K1454" s="14" t="str">
        <f>HYPERLINK("http://twitter.com","Twitter Web Client")</f>
        <v>Twitter Web Client</v>
      </c>
      <c r="L1454" s="13">
        <v>264</v>
      </c>
      <c r="M1454" s="13">
        <v>1159</v>
      </c>
      <c r="N1454" s="13">
        <v>10</v>
      </c>
      <c r="O1454" s="15"/>
      <c r="P1454" s="6">
        <v>40381.26399305556</v>
      </c>
      <c r="Q1454" s="17" t="s">
        <v>3363</v>
      </c>
      <c r="R1454" s="16" t="s">
        <v>3364</v>
      </c>
      <c r="S1454" s="12"/>
      <c r="T1454" s="12"/>
      <c r="U1454" s="10" t="str">
        <f>HYPERLINK("https://pbs.twimg.com/profile_images/869277256874635264/qtOHCfCm.jpg","View")</f>
        <v>View</v>
      </c>
    </row>
    <row r="1455" spans="1:21" ht="40.799999999999997">
      <c r="A1455" s="6">
        <v>43423.586504629631</v>
      </c>
      <c r="B1455" s="7" t="str">
        <f>HYPERLINK("https://twitter.com/Eva_Ryddles","@Eva_Ryddles")</f>
        <v>@Eva_Ryddles</v>
      </c>
      <c r="C1455" s="8" t="s">
        <v>5221</v>
      </c>
      <c r="D1455" s="9" t="s">
        <v>5222</v>
      </c>
      <c r="E1455" s="10" t="str">
        <f>HYPERLINK("https://twitter.com/Eva_Ryddles/status/1064640603965857792","1064640603965857792")</f>
        <v>1064640603965857792</v>
      </c>
      <c r="F1455" s="11" t="s">
        <v>5223</v>
      </c>
      <c r="G1455" s="11" t="s">
        <v>5224</v>
      </c>
      <c r="H1455" s="12"/>
      <c r="I1455" s="13">
        <v>0</v>
      </c>
      <c r="J1455" s="13">
        <v>0</v>
      </c>
      <c r="K1455" s="14" t="str">
        <f>HYPERLINK("http://twitter.com/download/android","Twitter for Android")</f>
        <v>Twitter for Android</v>
      </c>
      <c r="L1455" s="13">
        <v>966</v>
      </c>
      <c r="M1455" s="13">
        <v>638</v>
      </c>
      <c r="N1455" s="13">
        <v>16</v>
      </c>
      <c r="O1455" s="15"/>
      <c r="P1455" s="6">
        <v>41794.377962962964</v>
      </c>
      <c r="Q1455" s="17" t="s">
        <v>5225</v>
      </c>
      <c r="R1455" s="16" t="s">
        <v>5226</v>
      </c>
      <c r="S1455" s="11" t="s">
        <v>5227</v>
      </c>
      <c r="T1455" s="12"/>
      <c r="U1455" s="10" t="str">
        <f>HYPERLINK("https://pbs.twimg.com/profile_images/1027478472694943744/LxMZnt_8.jpg","View")</f>
        <v>View</v>
      </c>
    </row>
    <row r="1456" spans="1:21" ht="112.2">
      <c r="A1456" s="6">
        <v>43423.585914351846</v>
      </c>
      <c r="B1456" s="7" t="str">
        <f>HYPERLINK("https://twitter.com/FG72373327","@FG72373327")</f>
        <v>@FG72373327</v>
      </c>
      <c r="C1456" s="8" t="s">
        <v>3802</v>
      </c>
      <c r="D1456" s="9" t="s">
        <v>5229</v>
      </c>
      <c r="E1456" s="10" t="str">
        <f>HYPERLINK("https://twitter.com/FG72373327/status/1064640387145289729","1064640387145289729")</f>
        <v>1064640387145289729</v>
      </c>
      <c r="F1456" s="11" t="s">
        <v>5230</v>
      </c>
      <c r="G1456" s="11" t="s">
        <v>5231</v>
      </c>
      <c r="H1456" s="12"/>
      <c r="I1456" s="13">
        <v>0</v>
      </c>
      <c r="J1456" s="13">
        <v>0</v>
      </c>
      <c r="K1456" s="14" t="str">
        <f>HYPERLINK("http://twitter.com/download/iphone","Twitter for iPhone")</f>
        <v>Twitter for iPhone</v>
      </c>
      <c r="L1456" s="13">
        <v>861</v>
      </c>
      <c r="M1456" s="13">
        <v>886</v>
      </c>
      <c r="N1456" s="13">
        <v>6</v>
      </c>
      <c r="O1456" s="15"/>
      <c r="P1456" s="6">
        <v>42977.021006944444</v>
      </c>
      <c r="Q1456" s="17" t="s">
        <v>26</v>
      </c>
      <c r="R1456" s="18"/>
      <c r="S1456" s="12"/>
      <c r="T1456" s="12"/>
      <c r="U1456" s="10" t="str">
        <f>HYPERLINK("https://pbs.twimg.com/profile_images/902802729009111040/RUuGyEn7.jpg","View")</f>
        <v>View</v>
      </c>
    </row>
    <row r="1457" spans="1:21" ht="51">
      <c r="A1457" s="6">
        <v>43423.585821759261</v>
      </c>
      <c r="B1457" s="7" t="str">
        <f>HYPERLINK("https://twitter.com/Paupcas1","@Paupcas1")</f>
        <v>@Paupcas1</v>
      </c>
      <c r="C1457" s="8" t="s">
        <v>5232</v>
      </c>
      <c r="D1457" s="9" t="s">
        <v>5233</v>
      </c>
      <c r="E1457" s="10" t="str">
        <f>HYPERLINK("https://twitter.com/Paupcas1/status/1064640357688844290","1064640357688844290")</f>
        <v>1064640357688844290</v>
      </c>
      <c r="F1457" s="11" t="s">
        <v>5234</v>
      </c>
      <c r="G1457" s="11" t="s">
        <v>5235</v>
      </c>
      <c r="H1457" s="12"/>
      <c r="I1457" s="13">
        <v>0</v>
      </c>
      <c r="J1457" s="13">
        <v>0</v>
      </c>
      <c r="K1457" s="14" t="str">
        <f>HYPERLINK("https://mobile.twitter.com","Twitter Lite")</f>
        <v>Twitter Lite</v>
      </c>
      <c r="L1457" s="13">
        <v>7</v>
      </c>
      <c r="M1457" s="13">
        <v>23</v>
      </c>
      <c r="N1457" s="13">
        <v>0</v>
      </c>
      <c r="O1457" s="15"/>
      <c r="P1457" s="6">
        <v>43423.567164351851</v>
      </c>
      <c r="Q1457" s="12"/>
      <c r="R1457" s="18"/>
      <c r="S1457" s="12"/>
      <c r="T1457" s="12"/>
      <c r="U1457" s="10" t="str">
        <f>HYPERLINK("https://pbs.twimg.com/profile_images/1064636621436461059/uH5bWXnp.jpg","View")</f>
        <v>View</v>
      </c>
    </row>
    <row r="1458" spans="1:21" ht="30.6">
      <c r="A1458" s="6">
        <v>43423.585370370369</v>
      </c>
      <c r="B1458" s="7" t="str">
        <f>HYPERLINK("https://twitter.com/RafaelJBorja","@RafaelJBorja")</f>
        <v>@RafaelJBorja</v>
      </c>
      <c r="C1458" s="8" t="s">
        <v>5236</v>
      </c>
      <c r="D1458" s="9" t="s">
        <v>5237</v>
      </c>
      <c r="E1458" s="10" t="str">
        <f>HYPERLINK("https://twitter.com/RafaelJBorja/status/1064640191065976832","1064640191065976832")</f>
        <v>1064640191065976832</v>
      </c>
      <c r="F1458" s="12"/>
      <c r="G1458" s="12"/>
      <c r="H1458" s="12"/>
      <c r="I1458" s="13">
        <v>1</v>
      </c>
      <c r="J1458" s="13">
        <v>1</v>
      </c>
      <c r="K1458" s="14" t="str">
        <f>HYPERLINK("http://twitter.com","Twitter Web Client")</f>
        <v>Twitter Web Client</v>
      </c>
      <c r="L1458" s="13">
        <v>6677</v>
      </c>
      <c r="M1458" s="13">
        <v>7340</v>
      </c>
      <c r="N1458" s="13">
        <v>49</v>
      </c>
      <c r="O1458" s="15"/>
      <c r="P1458" s="6">
        <v>41514.695428240739</v>
      </c>
      <c r="Q1458" s="17" t="s">
        <v>5238</v>
      </c>
      <c r="R1458" s="28" t="s">
        <v>5239</v>
      </c>
      <c r="S1458" s="12"/>
      <c r="T1458" s="12"/>
      <c r="U1458" s="10" t="str">
        <f>HYPERLINK("https://pbs.twimg.com/profile_images/1054083855311888385/vT00erU6.jpg","View")</f>
        <v>View</v>
      </c>
    </row>
    <row r="1459" spans="1:21" ht="30.6">
      <c r="A1459" s="6">
        <v>43423.579259259262</v>
      </c>
      <c r="B1459" s="7" t="str">
        <f>HYPERLINK("https://twitter.com/EPpolitica_cat","@EPpolitica_cat")</f>
        <v>@EPpolitica_cat</v>
      </c>
      <c r="C1459" s="8" t="s">
        <v>5240</v>
      </c>
      <c r="D1459" s="9" t="s">
        <v>5241</v>
      </c>
      <c r="E1459" s="10" t="str">
        <f>HYPERLINK("https://twitter.com/EPpolitica_cat/status/1064637978495123459","1064637978495123459")</f>
        <v>1064637978495123459</v>
      </c>
      <c r="F1459" s="11" t="s">
        <v>5242</v>
      </c>
      <c r="G1459" s="12"/>
      <c r="H1459" s="12"/>
      <c r="I1459" s="13">
        <v>0</v>
      </c>
      <c r="J1459" s="13">
        <v>0</v>
      </c>
      <c r="K1459" s="14" t="str">
        <f>HYPERLINK("http://dogtrack.es","DogTrack_Oficial")</f>
        <v>DogTrack_Oficial</v>
      </c>
      <c r="L1459" s="13">
        <v>494</v>
      </c>
      <c r="M1459" s="13">
        <v>28</v>
      </c>
      <c r="N1459" s="13">
        <v>33</v>
      </c>
      <c r="O1459" s="15"/>
      <c r="P1459" s="6">
        <v>40962.22520833333</v>
      </c>
      <c r="Q1459" s="17" t="s">
        <v>187</v>
      </c>
      <c r="R1459" s="16" t="s">
        <v>5243</v>
      </c>
      <c r="S1459" s="11" t="s">
        <v>5244</v>
      </c>
      <c r="T1459" s="12"/>
      <c r="U1459" s="10" t="str">
        <f>HYPERLINK("https://pbs.twimg.com/profile_images/875761032656039936/hFgvHCux.jpg","View")</f>
        <v>View</v>
      </c>
    </row>
    <row r="1460" spans="1:21" ht="20.399999999999999">
      <c r="A1460" s="6">
        <v>43423.5783912037</v>
      </c>
      <c r="B1460" s="7" t="str">
        <f>HYPERLINK("https://twitter.com/juancar__ares","@juancar__ares")</f>
        <v>@juancar__ares</v>
      </c>
      <c r="C1460" s="8" t="s">
        <v>5245</v>
      </c>
      <c r="D1460" s="9" t="s">
        <v>5246</v>
      </c>
      <c r="E1460" s="10" t="str">
        <f>HYPERLINK("https://twitter.com/juancar__ares/status/1064637661992894464","1064637661992894464")</f>
        <v>1064637661992894464</v>
      </c>
      <c r="F1460" s="11" t="s">
        <v>4961</v>
      </c>
      <c r="G1460" s="12"/>
      <c r="H1460" s="12"/>
      <c r="I1460" s="13">
        <v>0</v>
      </c>
      <c r="J1460" s="13">
        <v>0</v>
      </c>
      <c r="K1460" s="14" t="str">
        <f>HYPERLINK("http://twitter.com/download/iphone","Twitter for iPhone")</f>
        <v>Twitter for iPhone</v>
      </c>
      <c r="L1460" s="13">
        <v>25</v>
      </c>
      <c r="M1460" s="13">
        <v>106</v>
      </c>
      <c r="N1460" s="13">
        <v>0</v>
      </c>
      <c r="O1460" s="15"/>
      <c r="P1460" s="6">
        <v>42152.249467592592</v>
      </c>
      <c r="Q1460" s="12"/>
      <c r="R1460" s="16" t="s">
        <v>5247</v>
      </c>
      <c r="S1460" s="12"/>
      <c r="T1460" s="12"/>
      <c r="U1460" s="10" t="str">
        <f>HYPERLINK("https://pbs.twimg.com/profile_images/932719712064196610/BVK4b4pB.jpg","View")</f>
        <v>View</v>
      </c>
    </row>
    <row r="1461" spans="1:21" ht="20.399999999999999">
      <c r="A1461" s="6">
        <v>43423.575844907406</v>
      </c>
      <c r="B1461" s="7" t="str">
        <f>HYPERLINK("https://twitter.com/leonardofdezj","@leonardofdezj")</f>
        <v>@leonardofdezj</v>
      </c>
      <c r="C1461" s="8" t="s">
        <v>5248</v>
      </c>
      <c r="D1461" s="9" t="s">
        <v>5249</v>
      </c>
      <c r="E1461" s="10" t="str">
        <f>HYPERLINK("https://twitter.com/leonardofdezj/status/1064636738952404995","1064636738952404995")</f>
        <v>1064636738952404995</v>
      </c>
      <c r="F1461" s="12"/>
      <c r="G1461" s="12"/>
      <c r="H1461" s="12"/>
      <c r="I1461" s="13">
        <v>1</v>
      </c>
      <c r="J1461" s="13">
        <v>3</v>
      </c>
      <c r="K1461" s="14" t="str">
        <f>HYPERLINK("http://twitter.com","Twitter Web Client")</f>
        <v>Twitter Web Client</v>
      </c>
      <c r="L1461" s="13">
        <v>333</v>
      </c>
      <c r="M1461" s="13">
        <v>134</v>
      </c>
      <c r="N1461" s="13">
        <v>7</v>
      </c>
      <c r="O1461" s="15"/>
      <c r="P1461" s="6">
        <v>40980.369733796295</v>
      </c>
      <c r="Q1461" s="17" t="s">
        <v>203</v>
      </c>
      <c r="R1461" s="16" t="s">
        <v>5250</v>
      </c>
      <c r="S1461" s="11" t="s">
        <v>5251</v>
      </c>
      <c r="T1461" s="12"/>
      <c r="U1461" s="10" t="str">
        <f>HYPERLINK("https://pbs.twimg.com/profile_images/516259943209390080/wnqrkMyg.jpeg","View")</f>
        <v>View</v>
      </c>
    </row>
    <row r="1462" spans="1:21" ht="51">
      <c r="A1462" s="6">
        <v>43423.574386574073</v>
      </c>
      <c r="B1462" s="7" t="str">
        <f>HYPERLINK("https://twitter.com/JC_C_A","@JC_C_A")</f>
        <v>@JC_C_A</v>
      </c>
      <c r="C1462" s="8" t="s">
        <v>161</v>
      </c>
      <c r="D1462" s="9" t="s">
        <v>5252</v>
      </c>
      <c r="E1462" s="10" t="str">
        <f>HYPERLINK("https://twitter.com/JC_C_A/status/1064636211770400769","1064636211770400769")</f>
        <v>1064636211770400769</v>
      </c>
      <c r="F1462" s="12"/>
      <c r="G1462" s="12"/>
      <c r="H1462" s="12"/>
      <c r="I1462" s="13">
        <v>0</v>
      </c>
      <c r="J1462" s="13">
        <v>0</v>
      </c>
      <c r="K1462" s="14" t="str">
        <f t="shared" ref="K1462:K1463" si="265">HYPERLINK("http://twitter.com/download/android","Twitter for Android")</f>
        <v>Twitter for Android</v>
      </c>
      <c r="L1462" s="13">
        <v>1491</v>
      </c>
      <c r="M1462" s="13">
        <v>1218</v>
      </c>
      <c r="N1462" s="13">
        <v>4</v>
      </c>
      <c r="O1462" s="15"/>
      <c r="P1462" s="6">
        <v>43055.56385416667</v>
      </c>
      <c r="Q1462" s="17" t="s">
        <v>163</v>
      </c>
      <c r="R1462" s="16" t="s">
        <v>164</v>
      </c>
      <c r="S1462" s="12"/>
      <c r="T1462" s="12"/>
      <c r="U1462" s="10" t="str">
        <f>HYPERLINK("https://pbs.twimg.com/profile_images/1029775179520647169/gj_YgLkP.jpg","View")</f>
        <v>View</v>
      </c>
    </row>
    <row r="1463" spans="1:21" ht="40.799999999999997">
      <c r="A1463" s="6">
        <v>43423.572916666672</v>
      </c>
      <c r="B1463" s="7" t="str">
        <f>HYPERLINK("https://twitter.com/JPBellido","@JPBellido")</f>
        <v>@JPBellido</v>
      </c>
      <c r="C1463" s="8" t="s">
        <v>5253</v>
      </c>
      <c r="D1463" s="9" t="s">
        <v>5254</v>
      </c>
      <c r="E1463" s="10" t="str">
        <f>HYPERLINK("https://twitter.com/JPBellido/status/1064635680674979842","1064635680674979842")</f>
        <v>1064635680674979842</v>
      </c>
      <c r="F1463" s="12"/>
      <c r="G1463" s="11" t="s">
        <v>5255</v>
      </c>
      <c r="H1463" s="12"/>
      <c r="I1463" s="13">
        <v>1</v>
      </c>
      <c r="J1463" s="13">
        <v>1</v>
      </c>
      <c r="K1463" s="14" t="str">
        <f t="shared" si="265"/>
        <v>Twitter for Android</v>
      </c>
      <c r="L1463" s="13">
        <v>84327</v>
      </c>
      <c r="M1463" s="13">
        <v>3701</v>
      </c>
      <c r="N1463" s="13">
        <v>1060</v>
      </c>
      <c r="O1463" s="19" t="s">
        <v>74</v>
      </c>
      <c r="P1463" s="6">
        <v>40603.082569444443</v>
      </c>
      <c r="Q1463" s="17" t="s">
        <v>5256</v>
      </c>
      <c r="R1463" s="16" t="s">
        <v>5257</v>
      </c>
      <c r="S1463" s="11" t="s">
        <v>5258</v>
      </c>
      <c r="T1463" s="12"/>
      <c r="U1463" s="10" t="str">
        <f>HYPERLINK("https://pbs.twimg.com/profile_images/951545555049738240/riE8Cl4W.jpg","View")</f>
        <v>View</v>
      </c>
    </row>
    <row r="1464" spans="1:21" ht="40.799999999999997">
      <c r="A1464" s="6">
        <v>43423.570983796293</v>
      </c>
      <c r="B1464" s="7" t="str">
        <f>HYPERLINK("https://twitter.com/cartujano57gil","@cartujano57gil")</f>
        <v>@cartujano57gil</v>
      </c>
      <c r="C1464" s="8" t="s">
        <v>5259</v>
      </c>
      <c r="D1464" s="9" t="s">
        <v>5260</v>
      </c>
      <c r="E1464" s="10" t="str">
        <f>HYPERLINK("https://twitter.com/cartujano57gil/status/1064634976984072194","1064634976984072194")</f>
        <v>1064634976984072194</v>
      </c>
      <c r="F1464" s="11" t="s">
        <v>5037</v>
      </c>
      <c r="G1464" s="12"/>
      <c r="H1464" s="12"/>
      <c r="I1464" s="13">
        <v>0</v>
      </c>
      <c r="J1464" s="13">
        <v>0</v>
      </c>
      <c r="K1464" s="14" t="str">
        <f>HYPERLINK("http://www.facebook.com/twitter","Facebook")</f>
        <v>Facebook</v>
      </c>
      <c r="L1464" s="13">
        <v>107</v>
      </c>
      <c r="M1464" s="13">
        <v>305</v>
      </c>
      <c r="N1464" s="13">
        <v>3</v>
      </c>
      <c r="O1464" s="15"/>
      <c r="P1464" s="6">
        <v>42607.519965277781</v>
      </c>
      <c r="Q1464" s="17" t="s">
        <v>2892</v>
      </c>
      <c r="R1464" s="16" t="s">
        <v>5261</v>
      </c>
      <c r="S1464" s="12"/>
      <c r="T1464" s="12"/>
      <c r="U1464" s="10" t="str">
        <f>HYPERLINK("https://pbs.twimg.com/profile_images/769984638903255044/f-AxsW4K.jpg","View")</f>
        <v>View</v>
      </c>
    </row>
    <row r="1465" spans="1:21" ht="51">
      <c r="A1465" s="6">
        <v>43423.569849537038</v>
      </c>
      <c r="B1465" s="7" t="str">
        <f>HYPERLINK("https://twitter.com/robbhaifisch","@robbhaifisch")</f>
        <v>@robbhaifisch</v>
      </c>
      <c r="C1465" s="8" t="s">
        <v>5262</v>
      </c>
      <c r="D1465" s="9" t="s">
        <v>5263</v>
      </c>
      <c r="E1465" s="10" t="str">
        <f>HYPERLINK("https://twitter.com/robbhaifisch/status/1064634569213833216","1064634569213833216")</f>
        <v>1064634569213833216</v>
      </c>
      <c r="F1465" s="12"/>
      <c r="G1465" s="11" t="s">
        <v>5264</v>
      </c>
      <c r="H1465" s="12"/>
      <c r="I1465" s="13">
        <v>0</v>
      </c>
      <c r="J1465" s="13">
        <v>0</v>
      </c>
      <c r="K1465" s="14" t="str">
        <f>HYPERLINK("https://mobile.twitter.com","Twitter Lite")</f>
        <v>Twitter Lite</v>
      </c>
      <c r="L1465" s="13">
        <v>63</v>
      </c>
      <c r="M1465" s="13">
        <v>61</v>
      </c>
      <c r="N1465" s="13">
        <v>13</v>
      </c>
      <c r="O1465" s="15"/>
      <c r="P1465" s="6">
        <v>41151.986643518518</v>
      </c>
      <c r="Q1465" s="12"/>
      <c r="R1465" s="16" t="s">
        <v>5265</v>
      </c>
      <c r="S1465" s="12"/>
      <c r="T1465" s="12"/>
      <c r="U1465" s="10" t="str">
        <f>HYPERLINK("https://pbs.twimg.com/profile_images/421398000263782400/5gVMKKlH.jpeg","View")</f>
        <v>View</v>
      </c>
    </row>
    <row r="1466" spans="1:21" ht="81.599999999999994">
      <c r="A1466" s="6">
        <v>43423.56759259259</v>
      </c>
      <c r="B1466" s="7" t="str">
        <f>HYPERLINK("https://twitter.com/BrucaferCarmen","@BrucaferCarmen")</f>
        <v>@BrucaferCarmen</v>
      </c>
      <c r="C1466" s="8" t="s">
        <v>5266</v>
      </c>
      <c r="D1466" s="9" t="s">
        <v>5267</v>
      </c>
      <c r="E1466" s="10" t="str">
        <f>HYPERLINK("https://twitter.com/BrucaferCarmen/status/1064633749957210112","1064633749957210112")</f>
        <v>1064633749957210112</v>
      </c>
      <c r="F1466" s="17" t="s">
        <v>5268</v>
      </c>
      <c r="G1466" s="12"/>
      <c r="H1466" s="12"/>
      <c r="I1466" s="13">
        <v>0</v>
      </c>
      <c r="J1466" s="13">
        <v>0</v>
      </c>
      <c r="K1466" s="14" t="str">
        <f>HYPERLINK("http://twitter.com/download/iphone","Twitter for iPhone")</f>
        <v>Twitter for iPhone</v>
      </c>
      <c r="L1466" s="13">
        <v>156</v>
      </c>
      <c r="M1466" s="13">
        <v>300</v>
      </c>
      <c r="N1466" s="13">
        <v>1</v>
      </c>
      <c r="O1466" s="15"/>
      <c r="P1466" s="6">
        <v>41651.708796296298</v>
      </c>
      <c r="Q1466" s="12"/>
      <c r="R1466" s="18"/>
      <c r="S1466" s="12"/>
      <c r="T1466" s="12"/>
      <c r="U1466" s="10" t="str">
        <f>HYPERLINK("https://pbs.twimg.com/profile_images/803996769088638976/Bga_-hEc.jpg","View")</f>
        <v>View</v>
      </c>
    </row>
    <row r="1467" spans="1:21" ht="40.799999999999997">
      <c r="A1467" s="6">
        <v>43423.564710648148</v>
      </c>
      <c r="B1467" s="7" t="str">
        <f>HYPERLINK("https://twitter.com/Lugburz3","@Lugburz3")</f>
        <v>@Lugburz3</v>
      </c>
      <c r="C1467" s="8" t="s">
        <v>5269</v>
      </c>
      <c r="D1467" s="9" t="s">
        <v>5270</v>
      </c>
      <c r="E1467" s="10" t="str">
        <f>HYPERLINK("https://twitter.com/Lugburz3/status/1064632707085422597","1064632707085422597")</f>
        <v>1064632707085422597</v>
      </c>
      <c r="F1467" s="11" t="s">
        <v>4948</v>
      </c>
      <c r="G1467" s="12"/>
      <c r="H1467" s="12"/>
      <c r="I1467" s="13">
        <v>0</v>
      </c>
      <c r="J1467" s="13">
        <v>0</v>
      </c>
      <c r="K1467" s="14" t="str">
        <f>HYPERLINK("http://twitter.com","Twitter Web Client")</f>
        <v>Twitter Web Client</v>
      </c>
      <c r="L1467" s="13">
        <v>20</v>
      </c>
      <c r="M1467" s="13">
        <v>120</v>
      </c>
      <c r="N1467" s="13">
        <v>0</v>
      </c>
      <c r="O1467" s="15"/>
      <c r="P1467" s="6">
        <v>43422.536736111113</v>
      </c>
      <c r="Q1467" s="17" t="s">
        <v>2415</v>
      </c>
      <c r="R1467" s="16" t="s">
        <v>5271</v>
      </c>
      <c r="S1467" s="12"/>
      <c r="T1467" s="12"/>
      <c r="U1467" s="10" t="str">
        <f>HYPERLINK("https://pbs.twimg.com/profile_images/1064315319718678528/xxSQMEBq.jpg","View")</f>
        <v>View</v>
      </c>
    </row>
    <row r="1468" spans="1:21" ht="30.6">
      <c r="A1468" s="6">
        <v>43423.564108796301</v>
      </c>
      <c r="B1468" s="7" t="str">
        <f>HYPERLINK("https://twitter.com/ElInfiltradoES","@ElInfiltradoES")</f>
        <v>@ElInfiltradoES</v>
      </c>
      <c r="C1468" s="8" t="s">
        <v>5272</v>
      </c>
      <c r="D1468" s="9" t="s">
        <v>5273</v>
      </c>
      <c r="E1468" s="10" t="str">
        <f>HYPERLINK("https://twitter.com/ElInfiltradoES/status/1064632486741897217","1064632486741897217")</f>
        <v>1064632486741897217</v>
      </c>
      <c r="F1468" s="11" t="s">
        <v>5274</v>
      </c>
      <c r="G1468" s="12"/>
      <c r="H1468" s="12"/>
      <c r="I1468" s="13">
        <v>0</v>
      </c>
      <c r="J1468" s="13">
        <v>0</v>
      </c>
      <c r="K1468" s="14" t="str">
        <f>HYPERLINK("http://www.facebook.com/twitter","Facebook")</f>
        <v>Facebook</v>
      </c>
      <c r="L1468" s="13">
        <v>390</v>
      </c>
      <c r="M1468" s="13">
        <v>442</v>
      </c>
      <c r="N1468" s="13">
        <v>5</v>
      </c>
      <c r="O1468" s="15"/>
      <c r="P1468" s="6">
        <v>42952.250787037032</v>
      </c>
      <c r="Q1468" s="17" t="s">
        <v>29</v>
      </c>
      <c r="R1468" s="16" t="s">
        <v>5275</v>
      </c>
      <c r="S1468" s="11" t="s">
        <v>5276</v>
      </c>
      <c r="T1468" s="12"/>
      <c r="U1468" s="10" t="str">
        <f>HYPERLINK("https://pbs.twimg.com/profile_images/903273416224104448/OlrcLQ2-.jpg","View")</f>
        <v>View</v>
      </c>
    </row>
    <row r="1469" spans="1:21" ht="51">
      <c r="A1469" s="6">
        <v>43423.564050925925</v>
      </c>
      <c r="B1469" s="7" t="str">
        <f>HYPERLINK("https://twitter.com/AdriSaezVilchez","@AdriSaezVilchez")</f>
        <v>@AdriSaezVilchez</v>
      </c>
      <c r="C1469" s="8" t="s">
        <v>5277</v>
      </c>
      <c r="D1469" s="9" t="s">
        <v>5278</v>
      </c>
      <c r="E1469" s="10" t="str">
        <f>HYPERLINK("https://twitter.com/AdriSaezVilchez/status/1064632464151334912","1064632464151334912")</f>
        <v>1064632464151334912</v>
      </c>
      <c r="F1469" s="12"/>
      <c r="G1469" s="12"/>
      <c r="H1469" s="12"/>
      <c r="I1469" s="13">
        <v>0</v>
      </c>
      <c r="J1469" s="13">
        <v>1</v>
      </c>
      <c r="K1469" s="14" t="str">
        <f>HYPERLINK("http://twitter.com/download/android","Twitter for Android")</f>
        <v>Twitter for Android</v>
      </c>
      <c r="L1469" s="13">
        <v>381</v>
      </c>
      <c r="M1469" s="13">
        <v>699</v>
      </c>
      <c r="N1469" s="13">
        <v>2</v>
      </c>
      <c r="O1469" s="15"/>
      <c r="P1469" s="6">
        <v>40721.492337962962</v>
      </c>
      <c r="Q1469" s="17" t="s">
        <v>5279</v>
      </c>
      <c r="R1469" s="16" t="s">
        <v>5280</v>
      </c>
      <c r="S1469" s="12"/>
      <c r="T1469" s="12"/>
      <c r="U1469" s="10" t="str">
        <f>HYPERLINK("https://pbs.twimg.com/profile_images/996135946818064384/joXKx0hZ.jpg","View")</f>
        <v>View</v>
      </c>
    </row>
    <row r="1470" spans="1:21" ht="40.799999999999997">
      <c r="A1470" s="6">
        <v>43423.563773148147</v>
      </c>
      <c r="B1470" s="7" t="str">
        <f>HYPERLINK("https://twitter.com/PodemosRadio","@PodemosRadio")</f>
        <v>@PodemosRadio</v>
      </c>
      <c r="C1470" s="8" t="s">
        <v>5281</v>
      </c>
      <c r="D1470" s="9" t="s">
        <v>5273</v>
      </c>
      <c r="E1470" s="10" t="str">
        <f>HYPERLINK("https://twitter.com/PodemosRadio/status/1064632365790765057","1064632365790765057")</f>
        <v>1064632365790765057</v>
      </c>
      <c r="F1470" s="11" t="s">
        <v>5274</v>
      </c>
      <c r="G1470" s="12"/>
      <c r="H1470" s="12"/>
      <c r="I1470" s="13">
        <v>0</v>
      </c>
      <c r="J1470" s="13">
        <v>0</v>
      </c>
      <c r="K1470" s="14" t="str">
        <f t="shared" ref="K1470:K1473" si="266">HYPERLINK("http://www.facebook.com/twitter","Facebook")</f>
        <v>Facebook</v>
      </c>
      <c r="L1470" s="13">
        <v>6719</v>
      </c>
      <c r="M1470" s="13">
        <v>5723</v>
      </c>
      <c r="N1470" s="13">
        <v>104</v>
      </c>
      <c r="O1470" s="15"/>
      <c r="P1470" s="6">
        <v>41736.475115740745</v>
      </c>
      <c r="Q1470" s="17" t="s">
        <v>29</v>
      </c>
      <c r="R1470" s="16" t="s">
        <v>5282</v>
      </c>
      <c r="S1470" s="11" t="s">
        <v>5283</v>
      </c>
      <c r="T1470" s="12"/>
      <c r="U1470" s="10" t="str">
        <f>HYPERLINK("https://pbs.twimg.com/profile_images/742326863448702976/0Yvin3Uf.jpg","View")</f>
        <v>View</v>
      </c>
    </row>
    <row r="1471" spans="1:21" ht="40.799999999999997">
      <c r="A1471" s="6">
        <v>43423.563715277778</v>
      </c>
      <c r="B1471" s="7" t="str">
        <f>HYPERLINK("https://twitter.com/podemosrepoblar","@podemosrepoblar")</f>
        <v>@podemosrepoblar</v>
      </c>
      <c r="C1471" s="8" t="s">
        <v>5284</v>
      </c>
      <c r="D1471" s="9" t="s">
        <v>5273</v>
      </c>
      <c r="E1471" s="10" t="str">
        <f>HYPERLINK("https://twitter.com/podemosrepoblar/status/1064632344261337090","1064632344261337090")</f>
        <v>1064632344261337090</v>
      </c>
      <c r="F1471" s="11" t="s">
        <v>5274</v>
      </c>
      <c r="G1471" s="12"/>
      <c r="H1471" s="12"/>
      <c r="I1471" s="13">
        <v>0</v>
      </c>
      <c r="J1471" s="13">
        <v>0</v>
      </c>
      <c r="K1471" s="14" t="str">
        <f t="shared" si="266"/>
        <v>Facebook</v>
      </c>
      <c r="L1471" s="13">
        <v>538</v>
      </c>
      <c r="M1471" s="13">
        <v>419</v>
      </c>
      <c r="N1471" s="13">
        <v>11</v>
      </c>
      <c r="O1471" s="15"/>
      <c r="P1471" s="6">
        <v>41770.134814814817</v>
      </c>
      <c r="Q1471" s="17" t="s">
        <v>29</v>
      </c>
      <c r="R1471" s="16" t="s">
        <v>5285</v>
      </c>
      <c r="S1471" s="11" t="s">
        <v>5286</v>
      </c>
      <c r="T1471" s="12"/>
      <c r="U1471" s="10" t="str">
        <f>HYPERLINK("https://pbs.twimg.com/profile_images/465435469686116353/MpEuv3T4.png","View")</f>
        <v>View</v>
      </c>
    </row>
    <row r="1472" spans="1:21" ht="40.799999999999997">
      <c r="A1472" s="6">
        <v>43423.563587962963</v>
      </c>
      <c r="B1472" s="7" t="str">
        <f>HYPERLINK("https://twitter.com/cartujano57gil","@cartujano57gil")</f>
        <v>@cartujano57gil</v>
      </c>
      <c r="C1472" s="8" t="s">
        <v>5259</v>
      </c>
      <c r="D1472" s="9" t="s">
        <v>5260</v>
      </c>
      <c r="E1472" s="10" t="str">
        <f>HYPERLINK("https://twitter.com/cartujano57gil/status/1064632298623168512","1064632298623168512")</f>
        <v>1064632298623168512</v>
      </c>
      <c r="F1472" s="11" t="s">
        <v>5287</v>
      </c>
      <c r="G1472" s="12"/>
      <c r="H1472" s="12"/>
      <c r="I1472" s="13">
        <v>0</v>
      </c>
      <c r="J1472" s="13">
        <v>0</v>
      </c>
      <c r="K1472" s="14" t="str">
        <f t="shared" si="266"/>
        <v>Facebook</v>
      </c>
      <c r="L1472" s="13">
        <v>107</v>
      </c>
      <c r="M1472" s="13">
        <v>305</v>
      </c>
      <c r="N1472" s="13">
        <v>3</v>
      </c>
      <c r="O1472" s="15"/>
      <c r="P1472" s="6">
        <v>42607.519965277781</v>
      </c>
      <c r="Q1472" s="17" t="s">
        <v>2892</v>
      </c>
      <c r="R1472" s="16" t="s">
        <v>5261</v>
      </c>
      <c r="S1472" s="12"/>
      <c r="T1472" s="12"/>
      <c r="U1472" s="10" t="str">
        <f>HYPERLINK("https://pbs.twimg.com/profile_images/769984638903255044/f-AxsW4K.jpg","View")</f>
        <v>View</v>
      </c>
    </row>
    <row r="1473" spans="1:21" ht="20.399999999999999">
      <c r="A1473" s="6">
        <v>43423.561967592592</v>
      </c>
      <c r="B1473" s="7" t="str">
        <f>HYPERLINK("https://twitter.com/ramonpares","@ramonpares")</f>
        <v>@ramonpares</v>
      </c>
      <c r="C1473" s="8" t="s">
        <v>5288</v>
      </c>
      <c r="D1473" s="9" t="s">
        <v>3067</v>
      </c>
      <c r="E1473" s="10" t="str">
        <f>HYPERLINK("https://twitter.com/ramonpares/status/1064631709461827584","1064631709461827584")</f>
        <v>1064631709461827584</v>
      </c>
      <c r="F1473" s="11" t="s">
        <v>320</v>
      </c>
      <c r="G1473" s="12"/>
      <c r="H1473" s="12"/>
      <c r="I1473" s="13">
        <v>0</v>
      </c>
      <c r="J1473" s="13">
        <v>0</v>
      </c>
      <c r="K1473" s="14" t="str">
        <f t="shared" si="266"/>
        <v>Facebook</v>
      </c>
      <c r="L1473" s="13">
        <v>333</v>
      </c>
      <c r="M1473" s="13">
        <v>1018</v>
      </c>
      <c r="N1473" s="13">
        <v>5</v>
      </c>
      <c r="O1473" s="15"/>
      <c r="P1473" s="6">
        <v>40444.640636574077</v>
      </c>
      <c r="Q1473" s="17" t="s">
        <v>5289</v>
      </c>
      <c r="R1473" s="18"/>
      <c r="S1473" s="12"/>
      <c r="T1473" s="12"/>
      <c r="U1473" s="10" t="str">
        <f>HYPERLINK("https://pbs.twimg.com/profile_images/1031808247680970753/Gi-hhbOC.jpg","View")</f>
        <v>View</v>
      </c>
    </row>
    <row r="1474" spans="1:21" ht="40.799999999999997">
      <c r="A1474" s="6">
        <v>43423.561122685191</v>
      </c>
      <c r="B1474" s="7" t="str">
        <f>HYPERLINK("https://twitter.com/PodemosRadio","@PodemosRadio")</f>
        <v>@PodemosRadio</v>
      </c>
      <c r="C1474" s="8" t="s">
        <v>5281</v>
      </c>
      <c r="D1474" s="9" t="s">
        <v>5290</v>
      </c>
      <c r="E1474" s="10" t="str">
        <f>HYPERLINK("https://twitter.com/PodemosRadio/status/1064631404733050881","1064631404733050881")</f>
        <v>1064631404733050881</v>
      </c>
      <c r="F1474" s="11" t="s">
        <v>3989</v>
      </c>
      <c r="G1474" s="12"/>
      <c r="H1474" s="12"/>
      <c r="I1474" s="13">
        <v>0</v>
      </c>
      <c r="J1474" s="13">
        <v>0</v>
      </c>
      <c r="K1474" s="14" t="str">
        <f>HYPERLINK("https://www.google.com/","Google")</f>
        <v>Google</v>
      </c>
      <c r="L1474" s="13">
        <v>6719</v>
      </c>
      <c r="M1474" s="13">
        <v>5723</v>
      </c>
      <c r="N1474" s="13">
        <v>104</v>
      </c>
      <c r="O1474" s="15"/>
      <c r="P1474" s="6">
        <v>41736.475115740745</v>
      </c>
      <c r="Q1474" s="17" t="s">
        <v>29</v>
      </c>
      <c r="R1474" s="16" t="s">
        <v>5282</v>
      </c>
      <c r="S1474" s="11" t="s">
        <v>5283</v>
      </c>
      <c r="T1474" s="12"/>
      <c r="U1474" s="10" t="str">
        <f>HYPERLINK("https://pbs.twimg.com/profile_images/742326863448702976/0Yvin3Uf.jpg","View")</f>
        <v>View</v>
      </c>
    </row>
    <row r="1475" spans="1:21" ht="40.799999999999997">
      <c r="A1475" s="6">
        <v>43423.560671296298</v>
      </c>
      <c r="B1475" s="7" t="str">
        <f>HYPERLINK("https://twitter.com/lcluengo","@lcluengo")</f>
        <v>@lcluengo</v>
      </c>
      <c r="C1475" s="8" t="s">
        <v>5291</v>
      </c>
      <c r="D1475" s="9" t="s">
        <v>5292</v>
      </c>
      <c r="E1475" s="10" t="str">
        <f>HYPERLINK("https://twitter.com/lcluengo/status/1064631242610626562","1064631242610626562")</f>
        <v>1064631242610626562</v>
      </c>
      <c r="F1475" s="11" t="s">
        <v>5087</v>
      </c>
      <c r="G1475" s="12"/>
      <c r="H1475" s="12"/>
      <c r="I1475" s="13">
        <v>0</v>
      </c>
      <c r="J1475" s="13">
        <v>0</v>
      </c>
      <c r="K1475" s="14" t="str">
        <f>HYPERLINK("http://twitter.com","Twitter Web Client")</f>
        <v>Twitter Web Client</v>
      </c>
      <c r="L1475" s="13">
        <v>3888</v>
      </c>
      <c r="M1475" s="13">
        <v>3837</v>
      </c>
      <c r="N1475" s="13">
        <v>206</v>
      </c>
      <c r="O1475" s="15"/>
      <c r="P1475" s="6">
        <v>39751.40053240741</v>
      </c>
      <c r="Q1475" s="12"/>
      <c r="R1475" s="16" t="s">
        <v>5293</v>
      </c>
      <c r="S1475" s="11" t="s">
        <v>5294</v>
      </c>
      <c r="T1475" s="12"/>
      <c r="U1475" s="10" t="str">
        <f>HYPERLINK("https://pbs.twimg.com/profile_images/2343550605/6ufciizbank7z7eplfe2.jpeg","View")</f>
        <v>View</v>
      </c>
    </row>
    <row r="1476" spans="1:21" ht="30.6">
      <c r="A1476" s="6">
        <v>43423.559988425928</v>
      </c>
      <c r="B1476" s="7" t="str">
        <f>HYPERLINK("https://twitter.com/jordillo","@jordillo")</f>
        <v>@jordillo</v>
      </c>
      <c r="C1476" s="8" t="s">
        <v>5295</v>
      </c>
      <c r="D1476" s="9" t="s">
        <v>5296</v>
      </c>
      <c r="E1476" s="10" t="str">
        <f>HYPERLINK("https://twitter.com/jordillo/status/1064630993812955136","1064630993812955136")</f>
        <v>1064630993812955136</v>
      </c>
      <c r="F1476" s="12"/>
      <c r="G1476" s="12"/>
      <c r="H1476" s="12"/>
      <c r="I1476" s="13">
        <v>0</v>
      </c>
      <c r="J1476" s="13">
        <v>0</v>
      </c>
      <c r="K1476" s="14" t="str">
        <f>HYPERLINK("http://twitter.com/download/android","Twitter for Android")</f>
        <v>Twitter for Android</v>
      </c>
      <c r="L1476" s="13">
        <v>885</v>
      </c>
      <c r="M1476" s="13">
        <v>927</v>
      </c>
      <c r="N1476" s="13">
        <v>31</v>
      </c>
      <c r="O1476" s="15"/>
      <c r="P1476" s="6">
        <v>40212.143067129626</v>
      </c>
      <c r="Q1476" s="17" t="s">
        <v>419</v>
      </c>
      <c r="R1476" s="16" t="s">
        <v>5297</v>
      </c>
      <c r="S1476" s="11" t="s">
        <v>5298</v>
      </c>
      <c r="T1476" s="12"/>
      <c r="U1476" s="10" t="str">
        <f>HYPERLINK("https://pbs.twimg.com/profile_images/429722245754531840/XZESxmVU.jpeg","View")</f>
        <v>View</v>
      </c>
    </row>
    <row r="1477" spans="1:21" ht="40.799999999999997">
      <c r="A1477" s="6">
        <v>43423.558715277773</v>
      </c>
      <c r="B1477" s="7" t="str">
        <f>HYPERLINK("https://twitter.com/daviderrege","@daviderrege")</f>
        <v>@daviderrege</v>
      </c>
      <c r="C1477" s="8" t="s">
        <v>5299</v>
      </c>
      <c r="D1477" s="9" t="s">
        <v>5300</v>
      </c>
      <c r="E1477" s="10" t="str">
        <f>HYPERLINK("https://twitter.com/daviderrege/status/1064630533727113217","1064630533727113217")</f>
        <v>1064630533727113217</v>
      </c>
      <c r="F1477" s="11" t="s">
        <v>5301</v>
      </c>
      <c r="G1477" s="12"/>
      <c r="H1477" s="12"/>
      <c r="I1477" s="13">
        <v>0</v>
      </c>
      <c r="J1477" s="13">
        <v>0</v>
      </c>
      <c r="K1477" s="14" t="str">
        <f>HYPERLINK("http://twitter.com","Twitter Web Client")</f>
        <v>Twitter Web Client</v>
      </c>
      <c r="L1477" s="13">
        <v>739</v>
      </c>
      <c r="M1477" s="13">
        <v>2011</v>
      </c>
      <c r="N1477" s="13">
        <v>18</v>
      </c>
      <c r="O1477" s="15"/>
      <c r="P1477" s="6">
        <v>41190.01</v>
      </c>
      <c r="Q1477" s="12"/>
      <c r="R1477" s="16" t="s">
        <v>5302</v>
      </c>
      <c r="S1477" s="12"/>
      <c r="T1477" s="12"/>
      <c r="U1477" s="10" t="str">
        <f>HYPERLINK("https://pbs.twimg.com/profile_images/1047247457241980936/FoTeyMGN.jpg","View")</f>
        <v>View</v>
      </c>
    </row>
    <row r="1478" spans="1:21" ht="40.799999999999997">
      <c r="A1478" s="6">
        <v>43423.558182870373</v>
      </c>
      <c r="B1478" s="7" t="str">
        <f>HYPERLINK("https://twitter.com/ForoCiudadanoRM","@ForoCiudadanoRM")</f>
        <v>@ForoCiudadanoRM</v>
      </c>
      <c r="C1478" s="8" t="s">
        <v>5303</v>
      </c>
      <c r="D1478" s="9" t="s">
        <v>3067</v>
      </c>
      <c r="E1478" s="10" t="str">
        <f>HYPERLINK("https://twitter.com/ForoCiudadanoRM/status/1064630338482290688","1064630338482290688")</f>
        <v>1064630338482290688</v>
      </c>
      <c r="F1478" s="11" t="s">
        <v>320</v>
      </c>
      <c r="G1478" s="12"/>
      <c r="H1478" s="12"/>
      <c r="I1478" s="13">
        <v>0</v>
      </c>
      <c r="J1478" s="13">
        <v>2</v>
      </c>
      <c r="K1478" s="14" t="str">
        <f>HYPERLINK("http://www.facebook.com/twitter","Facebook")</f>
        <v>Facebook</v>
      </c>
      <c r="L1478" s="13">
        <v>1466</v>
      </c>
      <c r="M1478" s="13">
        <v>152</v>
      </c>
      <c r="N1478" s="13">
        <v>45</v>
      </c>
      <c r="O1478" s="15"/>
      <c r="P1478" s="6">
        <v>40583.533703703702</v>
      </c>
      <c r="Q1478" s="17" t="s">
        <v>5304</v>
      </c>
      <c r="R1478" s="16" t="s">
        <v>5305</v>
      </c>
      <c r="S1478" s="11" t="s">
        <v>5306</v>
      </c>
      <c r="T1478" s="12"/>
      <c r="U1478" s="10" t="str">
        <f>HYPERLINK("https://pbs.twimg.com/profile_images/1239627847/LOGO_FORO_g.jpg","View")</f>
        <v>View</v>
      </c>
    </row>
    <row r="1479" spans="1:21" ht="51">
      <c r="A1479" s="6">
        <v>43423.556712962964</v>
      </c>
      <c r="B1479" s="7" t="str">
        <f>HYPERLINK("https://twitter.com/Xuxipc","@Xuxipc")</f>
        <v>@Xuxipc</v>
      </c>
      <c r="C1479" s="8" t="s">
        <v>1361</v>
      </c>
      <c r="D1479" s="9" t="s">
        <v>5307</v>
      </c>
      <c r="E1479" s="10" t="str">
        <f>HYPERLINK("https://twitter.com/Xuxipc/status/1064629807097491456","1064629807097491456")</f>
        <v>1064629807097491456</v>
      </c>
      <c r="F1479" s="12"/>
      <c r="G1479" s="12"/>
      <c r="H1479" s="12"/>
      <c r="I1479" s="13">
        <v>413</v>
      </c>
      <c r="J1479" s="13">
        <v>776</v>
      </c>
      <c r="K1479" s="14" t="str">
        <f>HYPERLINK("http://twitter.com/download/android","Twitter for Android")</f>
        <v>Twitter for Android</v>
      </c>
      <c r="L1479" s="13">
        <v>182356</v>
      </c>
      <c r="M1479" s="13">
        <v>280</v>
      </c>
      <c r="N1479" s="13">
        <v>1244</v>
      </c>
      <c r="O1479" s="15"/>
      <c r="P1479" s="6">
        <v>41297.293078703704</v>
      </c>
      <c r="Q1479" s="17" t="s">
        <v>1363</v>
      </c>
      <c r="R1479" s="16" t="s">
        <v>1364</v>
      </c>
      <c r="S1479" s="11" t="s">
        <v>1365</v>
      </c>
      <c r="T1479" s="12"/>
      <c r="U1479" s="10" t="str">
        <f>HYPERLINK("https://pbs.twimg.com/profile_images/1060442492217290752/p4rkMs-Y.jpg","View")</f>
        <v>View</v>
      </c>
    </row>
    <row r="1480" spans="1:21" ht="40.799999999999997">
      <c r="A1480" s="6">
        <v>43423.555902777778</v>
      </c>
      <c r="B1480" s="7" t="str">
        <f>HYPERLINK("https://twitter.com/CecilioCastro","@CecilioCastro")</f>
        <v>@CecilioCastro</v>
      </c>
      <c r="C1480" s="8" t="s">
        <v>2809</v>
      </c>
      <c r="D1480" s="9" t="s">
        <v>5308</v>
      </c>
      <c r="E1480" s="10" t="str">
        <f>HYPERLINK("https://twitter.com/CecilioCastro/status/1064629515098488832","1064629515098488832")</f>
        <v>1064629515098488832</v>
      </c>
      <c r="F1480" s="11" t="s">
        <v>5309</v>
      </c>
      <c r="G1480" s="12"/>
      <c r="H1480" s="12"/>
      <c r="I1480" s="13">
        <v>5</v>
      </c>
      <c r="J1480" s="13">
        <v>2</v>
      </c>
      <c r="K1480" s="14" t="str">
        <f>HYPERLINK("http://nuzzel.com/","Nuzzel")</f>
        <v>Nuzzel</v>
      </c>
      <c r="L1480" s="13">
        <v>12761</v>
      </c>
      <c r="M1480" s="13">
        <v>13343</v>
      </c>
      <c r="N1480" s="13">
        <v>154</v>
      </c>
      <c r="O1480" s="15"/>
      <c r="P1480" s="6">
        <v>40830.480543981481</v>
      </c>
      <c r="Q1480" s="17" t="s">
        <v>2814</v>
      </c>
      <c r="R1480" s="16" t="s">
        <v>2815</v>
      </c>
      <c r="S1480" s="11" t="s">
        <v>2816</v>
      </c>
      <c r="T1480" s="12"/>
      <c r="U1480" s="10" t="str">
        <f>HYPERLINK("https://pbs.twimg.com/profile_images/1033024985697267712/2ldOzQJi.jpg","View")</f>
        <v>View</v>
      </c>
    </row>
    <row r="1481" spans="1:21" ht="30.6">
      <c r="A1481" s="6">
        <v>43423.555173611108</v>
      </c>
      <c r="B1481" s="7" t="str">
        <f>HYPERLINK("https://twitter.com/ElTomorrow","@ElTomorrow")</f>
        <v>@ElTomorrow</v>
      </c>
      <c r="C1481" s="8" t="s">
        <v>5310</v>
      </c>
      <c r="D1481" s="9" t="s">
        <v>5311</v>
      </c>
      <c r="E1481" s="10" t="str">
        <f>HYPERLINK("https://twitter.com/ElTomorrow/status/1064629248747597824","1064629248747597824")</f>
        <v>1064629248747597824</v>
      </c>
      <c r="F1481" s="12"/>
      <c r="G1481" s="11" t="s">
        <v>5312</v>
      </c>
      <c r="H1481" s="12"/>
      <c r="I1481" s="13">
        <v>0</v>
      </c>
      <c r="J1481" s="13">
        <v>0</v>
      </c>
      <c r="K1481" s="14" t="str">
        <f>HYPERLINK("http://twitter.com","Twitter Web Client")</f>
        <v>Twitter Web Client</v>
      </c>
      <c r="L1481" s="13">
        <v>19</v>
      </c>
      <c r="M1481" s="13">
        <v>56</v>
      </c>
      <c r="N1481" s="13">
        <v>0</v>
      </c>
      <c r="O1481" s="15"/>
      <c r="P1481" s="6">
        <v>43418.234583333338</v>
      </c>
      <c r="Q1481" s="12"/>
      <c r="R1481" s="16" t="s">
        <v>5313</v>
      </c>
      <c r="S1481" s="12"/>
      <c r="T1481" s="12"/>
      <c r="U1481" s="10" t="str">
        <f>HYPERLINK("https://pbs.twimg.com/profile_images/1062717778958794753/4o-yqBMT.jpg","View")</f>
        <v>View</v>
      </c>
    </row>
    <row r="1482" spans="1:21" ht="40.799999999999997">
      <c r="A1482" s="6">
        <v>43423.554976851854</v>
      </c>
      <c r="B1482" s="7" t="str">
        <f>HYPERLINK("https://twitter.com/Montornesco","@Montornesco")</f>
        <v>@Montornesco</v>
      </c>
      <c r="C1482" s="8" t="s">
        <v>5314</v>
      </c>
      <c r="D1482" s="9" t="s">
        <v>5315</v>
      </c>
      <c r="E1482" s="10" t="str">
        <f>HYPERLINK("https://twitter.com/Montornesco/status/1064629178971185152","1064629178971185152")</f>
        <v>1064629178971185152</v>
      </c>
      <c r="F1482" s="11" t="s">
        <v>4961</v>
      </c>
      <c r="G1482" s="12"/>
      <c r="H1482" s="12"/>
      <c r="I1482" s="13">
        <v>0</v>
      </c>
      <c r="J1482" s="13">
        <v>1</v>
      </c>
      <c r="K1482" s="14" t="str">
        <f>HYPERLINK("http://twitter.com/download/android","Twitter for Android")</f>
        <v>Twitter for Android</v>
      </c>
      <c r="L1482" s="13">
        <v>2108</v>
      </c>
      <c r="M1482" s="13">
        <v>2650</v>
      </c>
      <c r="N1482" s="13">
        <v>9</v>
      </c>
      <c r="O1482" s="15"/>
      <c r="P1482" s="6">
        <v>43017.234050925923</v>
      </c>
      <c r="Q1482" s="17" t="s">
        <v>5316</v>
      </c>
      <c r="R1482" s="16" t="s">
        <v>5317</v>
      </c>
      <c r="S1482" s="12"/>
      <c r="T1482" s="12"/>
      <c r="U1482" s="10" t="str">
        <f>HYPERLINK("https://pbs.twimg.com/profile_images/976212986351243269/2bV6TxHW.jpg","View")</f>
        <v>View</v>
      </c>
    </row>
    <row r="1483" spans="1:21" ht="40.799999999999997">
      <c r="A1483" s="6">
        <v>43423.553287037037</v>
      </c>
      <c r="B1483" s="7" t="str">
        <f>HYPERLINK("https://twitter.com/elperiodico_cat","@elperiodico_cat")</f>
        <v>@elperiodico_cat</v>
      </c>
      <c r="C1483" s="8" t="s">
        <v>2057</v>
      </c>
      <c r="D1483" s="9" t="s">
        <v>5241</v>
      </c>
      <c r="E1483" s="10" t="str">
        <f>HYPERLINK("https://twitter.com/elperiodico_cat/status/1064628564899897349","1064628564899897349")</f>
        <v>1064628564899897349</v>
      </c>
      <c r="F1483" s="11" t="s">
        <v>5318</v>
      </c>
      <c r="G1483" s="12"/>
      <c r="H1483" s="12"/>
      <c r="I1483" s="13">
        <v>0</v>
      </c>
      <c r="J1483" s="13">
        <v>0</v>
      </c>
      <c r="K1483" s="14" t="str">
        <f>HYPERLINK("http://dogtrack.es","DogTrack_Oficial")</f>
        <v>DogTrack_Oficial</v>
      </c>
      <c r="L1483" s="13">
        <v>71783</v>
      </c>
      <c r="M1483" s="13">
        <v>7782</v>
      </c>
      <c r="N1483" s="13">
        <v>1800</v>
      </c>
      <c r="O1483" s="19" t="s">
        <v>74</v>
      </c>
      <c r="P1483" s="6">
        <v>40759.675636574073</v>
      </c>
      <c r="Q1483" s="17" t="s">
        <v>187</v>
      </c>
      <c r="R1483" s="16" t="s">
        <v>5319</v>
      </c>
      <c r="S1483" s="11" t="s">
        <v>5320</v>
      </c>
      <c r="T1483" s="12"/>
      <c r="U1483" s="10" t="str">
        <f>HYPERLINK("https://pbs.twimg.com/profile_images/876802661194113030/cuF6i0QZ.jpg","View")</f>
        <v>View</v>
      </c>
    </row>
    <row r="1484" spans="1:21" ht="51">
      <c r="A1484" s="6">
        <v>43423.548935185187</v>
      </c>
      <c r="B1484" s="7" t="str">
        <f>HYPERLINK("https://twitter.com/Loseloth","@Loseloth")</f>
        <v>@Loseloth</v>
      </c>
      <c r="C1484" s="8" t="s">
        <v>5321</v>
      </c>
      <c r="D1484" s="9" t="s">
        <v>5322</v>
      </c>
      <c r="E1484" s="10" t="str">
        <f>HYPERLINK("https://twitter.com/Loseloth/status/1064626988990763009","1064626988990763009")</f>
        <v>1064626988990763009</v>
      </c>
      <c r="F1484" s="12"/>
      <c r="G1484" s="11" t="s">
        <v>5323</v>
      </c>
      <c r="H1484" s="12"/>
      <c r="I1484" s="13">
        <v>1</v>
      </c>
      <c r="J1484" s="13">
        <v>7</v>
      </c>
      <c r="K1484" s="14" t="str">
        <f t="shared" ref="K1484:K1485" si="267">HYPERLINK("http://twitter.com/download/android","Twitter for Android")</f>
        <v>Twitter for Android</v>
      </c>
      <c r="L1484" s="13">
        <v>1760</v>
      </c>
      <c r="M1484" s="13">
        <v>498</v>
      </c>
      <c r="N1484" s="13">
        <v>21</v>
      </c>
      <c r="O1484" s="15"/>
      <c r="P1484" s="6">
        <v>40799.563969907409</v>
      </c>
      <c r="Q1484" s="17" t="s">
        <v>5324</v>
      </c>
      <c r="R1484" s="16" t="s">
        <v>5325</v>
      </c>
      <c r="S1484" s="11" t="s">
        <v>5326</v>
      </c>
      <c r="T1484" s="12"/>
      <c r="U1484" s="10" t="str">
        <f>HYPERLINK("https://pbs.twimg.com/profile_images/1037002654050856960/r1ZLoehw.jpg","View")</f>
        <v>View</v>
      </c>
    </row>
    <row r="1485" spans="1:21" ht="51">
      <c r="A1485" s="6">
        <v>43423.547858796301</v>
      </c>
      <c r="B1485" s="7" t="str">
        <f>HYPERLINK("https://twitter.com/ximoilicitano14","@ximoilicitano14")</f>
        <v>@ximoilicitano14</v>
      </c>
      <c r="C1485" s="8" t="s">
        <v>2435</v>
      </c>
      <c r="D1485" s="9" t="s">
        <v>5327</v>
      </c>
      <c r="E1485" s="10" t="str">
        <f>HYPERLINK("https://twitter.com/ximoilicitano14/status/1064626596726931461","1064626596726931461")</f>
        <v>1064626596726931461</v>
      </c>
      <c r="F1485" s="12"/>
      <c r="G1485" s="11" t="s">
        <v>5328</v>
      </c>
      <c r="H1485" s="12"/>
      <c r="I1485" s="13">
        <v>0</v>
      </c>
      <c r="J1485" s="13">
        <v>2</v>
      </c>
      <c r="K1485" s="14" t="str">
        <f t="shared" si="267"/>
        <v>Twitter for Android</v>
      </c>
      <c r="L1485" s="13">
        <v>804</v>
      </c>
      <c r="M1485" s="13">
        <v>1043</v>
      </c>
      <c r="N1485" s="13">
        <v>8</v>
      </c>
      <c r="O1485" s="15"/>
      <c r="P1485" s="6">
        <v>41954.660405092596</v>
      </c>
      <c r="Q1485" s="12"/>
      <c r="R1485" s="16" t="s">
        <v>2438</v>
      </c>
      <c r="S1485" s="11" t="s">
        <v>2439</v>
      </c>
      <c r="T1485" s="12"/>
      <c r="U1485" s="10" t="str">
        <f>HYPERLINK("https://pbs.twimg.com/profile_images/1025622799283630080/BeM9PIam.jpg","View")</f>
        <v>View</v>
      </c>
    </row>
    <row r="1486" spans="1:21" ht="61.2">
      <c r="A1486" s="6">
        <v>43423.547615740739</v>
      </c>
      <c r="B1486" s="7" t="str">
        <f>HYPERLINK("https://twitter.com/felroxs","@felroxs")</f>
        <v>@felroxs</v>
      </c>
      <c r="C1486" s="8" t="s">
        <v>5329</v>
      </c>
      <c r="D1486" s="9" t="s">
        <v>5330</v>
      </c>
      <c r="E1486" s="10" t="str">
        <f>HYPERLINK("https://twitter.com/felroxs/status/1064626510479466497","1064626510479466497")</f>
        <v>1064626510479466497</v>
      </c>
      <c r="F1486" s="11" t="s">
        <v>5331</v>
      </c>
      <c r="G1486" s="11" t="s">
        <v>5332</v>
      </c>
      <c r="H1486" s="12"/>
      <c r="I1486" s="13">
        <v>0</v>
      </c>
      <c r="J1486" s="13">
        <v>0</v>
      </c>
      <c r="K1486" s="14" t="str">
        <f>HYPERLINK("http://twitter.com","Twitter Web Client")</f>
        <v>Twitter Web Client</v>
      </c>
      <c r="L1486" s="13">
        <v>65</v>
      </c>
      <c r="M1486" s="13">
        <v>285</v>
      </c>
      <c r="N1486" s="13">
        <v>0</v>
      </c>
      <c r="O1486" s="15"/>
      <c r="P1486" s="6">
        <v>41766.352071759262</v>
      </c>
      <c r="Q1486" s="17" t="s">
        <v>5333</v>
      </c>
      <c r="R1486" s="16" t="s">
        <v>5334</v>
      </c>
      <c r="S1486" s="12"/>
      <c r="T1486" s="12"/>
      <c r="U1486" s="10" t="str">
        <f>HYPERLINK("https://pbs.twimg.com/profile_images/1048927778647801857/aJcVEbQO.jpg","View")</f>
        <v>View</v>
      </c>
    </row>
    <row r="1487" spans="1:21" ht="20.399999999999999">
      <c r="A1487" s="6">
        <v>43423.547037037039</v>
      </c>
      <c r="B1487" s="7" t="str">
        <f>HYPERLINK("https://twitter.com/sergiogallegore","@sergiogallegore")</f>
        <v>@sergiogallegore</v>
      </c>
      <c r="C1487" s="8" t="s">
        <v>5335</v>
      </c>
      <c r="D1487" s="9" t="s">
        <v>5336</v>
      </c>
      <c r="E1487" s="10" t="str">
        <f>HYPERLINK("https://twitter.com/sergiogallegore/status/1064626301724692480","1064626301724692480")</f>
        <v>1064626301724692480</v>
      </c>
      <c r="F1487" s="12"/>
      <c r="G1487" s="12"/>
      <c r="H1487" s="12"/>
      <c r="I1487" s="13">
        <v>0</v>
      </c>
      <c r="J1487" s="13">
        <v>1</v>
      </c>
      <c r="K1487" s="14" t="str">
        <f t="shared" ref="K1487:K1488" si="268">HYPERLINK("http://twitter.com/download/iphone","Twitter for iPhone")</f>
        <v>Twitter for iPhone</v>
      </c>
      <c r="L1487" s="13">
        <v>75</v>
      </c>
      <c r="M1487" s="13">
        <v>422</v>
      </c>
      <c r="N1487" s="13">
        <v>0</v>
      </c>
      <c r="O1487" s="15"/>
      <c r="P1487" s="6">
        <v>40915.431990740741</v>
      </c>
      <c r="Q1487" s="12"/>
      <c r="R1487" s="16" t="s">
        <v>5337</v>
      </c>
      <c r="S1487" s="12"/>
      <c r="T1487" s="12"/>
      <c r="U1487" s="10" t="str">
        <f>HYPERLINK("https://pbs.twimg.com/profile_images/1039470400139395080/rgkDfLaW.jpg","View")</f>
        <v>View</v>
      </c>
    </row>
    <row r="1488" spans="1:21" ht="40.799999999999997">
      <c r="A1488" s="6">
        <v>43423.546643518523</v>
      </c>
      <c r="B1488" s="7" t="str">
        <f>HYPERLINK("https://twitter.com/juanmafdez","@juanmafdez")</f>
        <v>@juanmafdez</v>
      </c>
      <c r="C1488" s="8" t="s">
        <v>5338</v>
      </c>
      <c r="D1488" s="9" t="s">
        <v>5339</v>
      </c>
      <c r="E1488" s="10" t="str">
        <f>HYPERLINK("https://twitter.com/juanmafdez/status/1064626159692988416","1064626159692988416")</f>
        <v>1064626159692988416</v>
      </c>
      <c r="F1488" s="12"/>
      <c r="G1488" s="12"/>
      <c r="H1488" s="12"/>
      <c r="I1488" s="13">
        <v>0</v>
      </c>
      <c r="J1488" s="13">
        <v>2</v>
      </c>
      <c r="K1488" s="14" t="str">
        <f t="shared" si="268"/>
        <v>Twitter for iPhone</v>
      </c>
      <c r="L1488" s="13">
        <v>10470</v>
      </c>
      <c r="M1488" s="13">
        <v>2946</v>
      </c>
      <c r="N1488" s="13">
        <v>242</v>
      </c>
      <c r="O1488" s="15"/>
      <c r="P1488" s="6">
        <v>39955.049537037034</v>
      </c>
      <c r="Q1488" s="17" t="s">
        <v>5340</v>
      </c>
      <c r="R1488" s="16" t="s">
        <v>5341</v>
      </c>
      <c r="S1488" s="11" t="s">
        <v>5342</v>
      </c>
      <c r="T1488" s="12"/>
      <c r="U1488" s="10" t="str">
        <f>HYPERLINK("https://pbs.twimg.com/profile_images/978632165247381504/7l4gjjs4.jpg","View")</f>
        <v>View</v>
      </c>
    </row>
    <row r="1489" spans="1:21" ht="102">
      <c r="A1489" s="6">
        <v>43423.545937499999</v>
      </c>
      <c r="B1489" s="7" t="str">
        <f>HYPERLINK("https://twitter.com/joseleana5461","@joseleana5461")</f>
        <v>@joseleana5461</v>
      </c>
      <c r="C1489" s="8" t="s">
        <v>2817</v>
      </c>
      <c r="D1489" s="9" t="s">
        <v>5343</v>
      </c>
      <c r="E1489" s="10" t="str">
        <f>HYPERLINK("https://twitter.com/joseleana5461/status/1064625904029188097","1064625904029188097")</f>
        <v>1064625904029188097</v>
      </c>
      <c r="F1489" s="11" t="s">
        <v>5344</v>
      </c>
      <c r="G1489" s="11" t="s">
        <v>5345</v>
      </c>
      <c r="H1489" s="12"/>
      <c r="I1489" s="13">
        <v>0</v>
      </c>
      <c r="J1489" s="13">
        <v>0</v>
      </c>
      <c r="K1489" s="14" t="str">
        <f t="shared" ref="K1489:K1490" si="269">HYPERLINK("http://twitter.com/download/android","Twitter for Android")</f>
        <v>Twitter for Android</v>
      </c>
      <c r="L1489" s="13">
        <v>68</v>
      </c>
      <c r="M1489" s="13">
        <v>157</v>
      </c>
      <c r="N1489" s="13">
        <v>0</v>
      </c>
      <c r="O1489" s="15"/>
      <c r="P1489" s="6">
        <v>42231.22657407407</v>
      </c>
      <c r="Q1489" s="12"/>
      <c r="R1489" s="18"/>
      <c r="S1489" s="12"/>
      <c r="T1489" s="12"/>
      <c r="U1489" s="10" t="str">
        <f>HYPERLINK("https://pbs.twimg.com/profile_images/976638684358422533/OQOuU0i6.jpg","View")</f>
        <v>View</v>
      </c>
    </row>
    <row r="1490" spans="1:21" ht="20.399999999999999">
      <c r="A1490" s="6">
        <v>43423.545925925922</v>
      </c>
      <c r="B1490" s="7" t="str">
        <f>HYPERLINK("https://twitter.com/oyecomova_","@oyecomova_")</f>
        <v>@oyecomova_</v>
      </c>
      <c r="C1490" s="8" t="s">
        <v>3179</v>
      </c>
      <c r="D1490" s="9" t="s">
        <v>5346</v>
      </c>
      <c r="E1490" s="10" t="str">
        <f>HYPERLINK("https://twitter.com/oyecomova_/status/1064625897247031299","1064625897247031299")</f>
        <v>1064625897247031299</v>
      </c>
      <c r="F1490" s="12"/>
      <c r="G1490" s="12"/>
      <c r="H1490" s="12"/>
      <c r="I1490" s="13">
        <v>0</v>
      </c>
      <c r="J1490" s="13">
        <v>0</v>
      </c>
      <c r="K1490" s="14" t="str">
        <f t="shared" si="269"/>
        <v>Twitter for Android</v>
      </c>
      <c r="L1490" s="13">
        <v>257</v>
      </c>
      <c r="M1490" s="13">
        <v>175</v>
      </c>
      <c r="N1490" s="13">
        <v>128</v>
      </c>
      <c r="O1490" s="15"/>
      <c r="P1490" s="6">
        <v>41111.374699074076</v>
      </c>
      <c r="Q1490" s="17" t="s">
        <v>3181</v>
      </c>
      <c r="R1490" s="16" t="s">
        <v>3182</v>
      </c>
      <c r="S1490" s="12"/>
      <c r="T1490" s="12"/>
      <c r="U1490" s="10" t="str">
        <f>HYPERLINK("https://pbs.twimg.com/profile_images/820949095066038272/tjVKV0ez.jpg","View")</f>
        <v>View</v>
      </c>
    </row>
    <row r="1491" spans="1:21" ht="40.799999999999997">
      <c r="A1491" s="6">
        <v>43423.545567129629</v>
      </c>
      <c r="B1491" s="7" t="str">
        <f>HYPERLINK("https://twitter.com/delilop57","@delilop57")</f>
        <v>@delilop57</v>
      </c>
      <c r="C1491" s="8" t="s">
        <v>5347</v>
      </c>
      <c r="D1491" s="9" t="s">
        <v>5348</v>
      </c>
      <c r="E1491" s="10" t="str">
        <f>HYPERLINK("https://twitter.com/delilop57/status/1064625768834244608","1064625768834244608")</f>
        <v>1064625768834244608</v>
      </c>
      <c r="F1491" s="12"/>
      <c r="G1491" s="11" t="s">
        <v>5349</v>
      </c>
      <c r="H1491" s="12"/>
      <c r="I1491" s="13">
        <v>7</v>
      </c>
      <c r="J1491" s="13">
        <v>7</v>
      </c>
      <c r="K1491" s="14" t="str">
        <f>HYPERLINK("http://twitter.com/#!/download/ipad","Twitter for iPad")</f>
        <v>Twitter for iPad</v>
      </c>
      <c r="L1491" s="13">
        <v>1057</v>
      </c>
      <c r="M1491" s="13">
        <v>877</v>
      </c>
      <c r="N1491" s="13">
        <v>4</v>
      </c>
      <c r="O1491" s="15"/>
      <c r="P1491" s="6">
        <v>40687.428622685184</v>
      </c>
      <c r="Q1491" s="12"/>
      <c r="R1491" s="16" t="s">
        <v>5350</v>
      </c>
      <c r="S1491" s="12"/>
      <c r="T1491" s="12"/>
      <c r="U1491" s="10" t="str">
        <f>HYPERLINK("https://pbs.twimg.com/profile_images/925681353307410432/W43vuRRv.jpg","View")</f>
        <v>View</v>
      </c>
    </row>
    <row r="1492" spans="1:21" ht="40.799999999999997">
      <c r="A1492" s="6">
        <v>43423.545173611114</v>
      </c>
      <c r="B1492" s="7" t="str">
        <f>HYPERLINK("https://twitter.com/RaquelJaquezM","@RaquelJaquezM")</f>
        <v>@RaquelJaquezM</v>
      </c>
      <c r="C1492" s="8" t="s">
        <v>5351</v>
      </c>
      <c r="D1492" s="9" t="s">
        <v>5352</v>
      </c>
      <c r="E1492" s="10" t="str">
        <f>HYPERLINK("https://twitter.com/RaquelJaquezM/status/1064625625368006656","1064625625368006656")</f>
        <v>1064625625368006656</v>
      </c>
      <c r="F1492" s="11" t="s">
        <v>5353</v>
      </c>
      <c r="G1492" s="12"/>
      <c r="H1492" s="12"/>
      <c r="I1492" s="13">
        <v>0</v>
      </c>
      <c r="J1492" s="13">
        <v>0</v>
      </c>
      <c r="K1492" s="14" t="str">
        <f>HYPERLINK("http://www.facebook.com/twitter","Facebook")</f>
        <v>Facebook</v>
      </c>
      <c r="L1492" s="13">
        <v>1220</v>
      </c>
      <c r="M1492" s="13">
        <v>406</v>
      </c>
      <c r="N1492" s="13">
        <v>11</v>
      </c>
      <c r="O1492" s="15"/>
      <c r="P1492" s="6">
        <v>42517.163541666669</v>
      </c>
      <c r="Q1492" s="17" t="s">
        <v>721</v>
      </c>
      <c r="R1492" s="16" t="s">
        <v>5354</v>
      </c>
      <c r="S1492" s="11" t="s">
        <v>5355</v>
      </c>
      <c r="T1492" s="12"/>
      <c r="U1492" s="10" t="str">
        <f>HYPERLINK("https://pbs.twimg.com/profile_images/841969676188041216/-vRtp9HN.jpg","View")</f>
        <v>View</v>
      </c>
    </row>
    <row r="1493" spans="1:21" ht="20.399999999999999">
      <c r="A1493" s="6">
        <v>43423.544664351852</v>
      </c>
      <c r="B1493" s="7" t="str">
        <f>HYPERLINK("https://twitter.com/LosadaMily","@LosadaMily")</f>
        <v>@LosadaMily</v>
      </c>
      <c r="C1493" s="8" t="s">
        <v>5356</v>
      </c>
      <c r="D1493" s="9" t="s">
        <v>5357</v>
      </c>
      <c r="E1493" s="10" t="str">
        <f>HYPERLINK("https://twitter.com/LosadaMily/status/1064625440562839552","1064625440562839552")</f>
        <v>1064625440562839552</v>
      </c>
      <c r="F1493" s="12"/>
      <c r="G1493" s="12"/>
      <c r="H1493" s="12"/>
      <c r="I1493" s="13">
        <v>1</v>
      </c>
      <c r="J1493" s="13">
        <v>2</v>
      </c>
      <c r="K1493" s="14" t="str">
        <f t="shared" ref="K1493:K1496" si="270">HYPERLINK("http://twitter.com/download/android","Twitter for Android")</f>
        <v>Twitter for Android</v>
      </c>
      <c r="L1493" s="13">
        <v>595</v>
      </c>
      <c r="M1493" s="13">
        <v>800</v>
      </c>
      <c r="N1493" s="13">
        <v>10</v>
      </c>
      <c r="O1493" s="15"/>
      <c r="P1493" s="6">
        <v>41075.617812500001</v>
      </c>
      <c r="Q1493" s="12"/>
      <c r="R1493" s="16" t="s">
        <v>5358</v>
      </c>
      <c r="S1493" s="12"/>
      <c r="T1493" s="12"/>
      <c r="U1493" s="10" t="str">
        <f>HYPERLINK("https://pbs.twimg.com/profile_images/665057796203892736/sljfPU4s.jpg","View")</f>
        <v>View</v>
      </c>
    </row>
    <row r="1494" spans="1:21" ht="20.399999999999999">
      <c r="A1494" s="6">
        <v>43423.544328703705</v>
      </c>
      <c r="B1494" s="7" t="str">
        <f>HYPERLINK("https://twitter.com/JuanCarballeira","@JuanCarballeira")</f>
        <v>@JuanCarballeira</v>
      </c>
      <c r="C1494" s="8" t="s">
        <v>5359</v>
      </c>
      <c r="D1494" s="9" t="s">
        <v>5360</v>
      </c>
      <c r="E1494" s="10" t="str">
        <f>HYPERLINK("https://twitter.com/JuanCarballeira/status/1064625319448100866","1064625319448100866")</f>
        <v>1064625319448100866</v>
      </c>
      <c r="F1494" s="12"/>
      <c r="G1494" s="12"/>
      <c r="H1494" s="12"/>
      <c r="I1494" s="13">
        <v>0</v>
      </c>
      <c r="J1494" s="13">
        <v>1</v>
      </c>
      <c r="K1494" s="14" t="str">
        <f t="shared" si="270"/>
        <v>Twitter for Android</v>
      </c>
      <c r="L1494" s="13">
        <v>10</v>
      </c>
      <c r="M1494" s="13">
        <v>78</v>
      </c>
      <c r="N1494" s="13">
        <v>0</v>
      </c>
      <c r="O1494" s="15"/>
      <c r="P1494" s="6">
        <v>43338.197013888886</v>
      </c>
      <c r="Q1494" s="12"/>
      <c r="R1494" s="16" t="s">
        <v>5361</v>
      </c>
      <c r="S1494" s="12"/>
      <c r="T1494" s="12"/>
      <c r="U1494" s="10" t="str">
        <f>HYPERLINK("https://pbs.twimg.com/profile_images/1033686806234099713/vr0BjAmF.jpg","View")</f>
        <v>View</v>
      </c>
    </row>
    <row r="1495" spans="1:21" ht="20.399999999999999">
      <c r="A1495" s="6">
        <v>43423.54378472222</v>
      </c>
      <c r="B1495" s="7" t="str">
        <f>HYPERLINK("https://twitter.com/javikarlsson","@javikarlsson")</f>
        <v>@javikarlsson</v>
      </c>
      <c r="C1495" s="8" t="s">
        <v>5362</v>
      </c>
      <c r="D1495" s="9" t="s">
        <v>5363</v>
      </c>
      <c r="E1495" s="10" t="str">
        <f>HYPERLINK("https://twitter.com/javikarlsson/status/1064625122471026690","1064625122471026690")</f>
        <v>1064625122471026690</v>
      </c>
      <c r="F1495" s="12"/>
      <c r="G1495" s="12"/>
      <c r="H1495" s="12"/>
      <c r="I1495" s="13">
        <v>0</v>
      </c>
      <c r="J1495" s="13">
        <v>2</v>
      </c>
      <c r="K1495" s="14" t="str">
        <f t="shared" si="270"/>
        <v>Twitter for Android</v>
      </c>
      <c r="L1495" s="13">
        <v>181</v>
      </c>
      <c r="M1495" s="13">
        <v>298</v>
      </c>
      <c r="N1495" s="13">
        <v>1</v>
      </c>
      <c r="O1495" s="15"/>
      <c r="P1495" s="6">
        <v>41308.332673611112</v>
      </c>
      <c r="Q1495" s="17" t="s">
        <v>5364</v>
      </c>
      <c r="R1495" s="16" t="s">
        <v>5365</v>
      </c>
      <c r="S1495" s="12"/>
      <c r="T1495" s="12"/>
      <c r="U1495" s="10" t="str">
        <f>HYPERLINK("https://pbs.twimg.com/profile_images/1044945729528254465/gScd3Wvn.jpg","View")</f>
        <v>View</v>
      </c>
    </row>
    <row r="1496" spans="1:21" ht="30.6">
      <c r="A1496" s="6">
        <v>43423.543622685189</v>
      </c>
      <c r="B1496" s="7" t="str">
        <f>HYPERLINK("https://twitter.com/GemmapagaC","@GemmapagaC")</f>
        <v>@GemmapagaC</v>
      </c>
      <c r="C1496" s="8" t="s">
        <v>5366</v>
      </c>
      <c r="D1496" s="9" t="s">
        <v>5367</v>
      </c>
      <c r="E1496" s="10" t="str">
        <f>HYPERLINK("https://twitter.com/GemmapagaC/status/1064625061666217985","1064625061666217985")</f>
        <v>1064625061666217985</v>
      </c>
      <c r="F1496" s="12"/>
      <c r="G1496" s="12"/>
      <c r="H1496" s="12"/>
      <c r="I1496" s="13">
        <v>1</v>
      </c>
      <c r="J1496" s="13">
        <v>8</v>
      </c>
      <c r="K1496" s="14" t="str">
        <f t="shared" si="270"/>
        <v>Twitter for Android</v>
      </c>
      <c r="L1496" s="13">
        <v>177</v>
      </c>
      <c r="M1496" s="13">
        <v>128</v>
      </c>
      <c r="N1496" s="13">
        <v>1</v>
      </c>
      <c r="O1496" s="15"/>
      <c r="P1496" s="6">
        <v>41942.553680555553</v>
      </c>
      <c r="Q1496" s="12"/>
      <c r="R1496" s="16" t="s">
        <v>5368</v>
      </c>
      <c r="S1496" s="12"/>
      <c r="T1496" s="12"/>
      <c r="U1496" s="10" t="str">
        <f>HYPERLINK("https://pbs.twimg.com/profile_images/1059789187275218944/0p8ta1c7.jpg","View")</f>
        <v>View</v>
      </c>
    </row>
    <row r="1497" spans="1:21" ht="30.6">
      <c r="A1497" s="6">
        <v>43423.543449074074</v>
      </c>
      <c r="B1497" s="7" t="str">
        <f>HYPERLINK("https://twitter.com/ladealli","@ladealli")</f>
        <v>@ladealli</v>
      </c>
      <c r="C1497" s="8" t="s">
        <v>5369</v>
      </c>
      <c r="D1497" s="9" t="s">
        <v>5370</v>
      </c>
      <c r="E1497" s="10" t="str">
        <f>HYPERLINK("https://twitter.com/ladealli/status/1064625000236412929","1064625000236412929")</f>
        <v>1064625000236412929</v>
      </c>
      <c r="F1497" s="12"/>
      <c r="G1497" s="12"/>
      <c r="H1497" s="12"/>
      <c r="I1497" s="13">
        <v>0</v>
      </c>
      <c r="J1497" s="13">
        <v>3</v>
      </c>
      <c r="K1497" s="14" t="str">
        <f>HYPERLINK("http://twitter.com","Twitter Web Client")</f>
        <v>Twitter Web Client</v>
      </c>
      <c r="L1497" s="13">
        <v>6</v>
      </c>
      <c r="M1497" s="13">
        <v>45</v>
      </c>
      <c r="N1497" s="13">
        <v>0</v>
      </c>
      <c r="O1497" s="15"/>
      <c r="P1497" s="6">
        <v>43423.119108796294</v>
      </c>
      <c r="Q1497" s="17" t="s">
        <v>5371</v>
      </c>
      <c r="R1497" s="16" t="s">
        <v>5372</v>
      </c>
      <c r="S1497" s="12"/>
      <c r="T1497" s="12"/>
      <c r="U1497" s="10" t="str">
        <f>HYPERLINK("https://pbs.twimg.com/profile_images/1064622141302325248/8gAbHuMA.jpg","View")</f>
        <v>View</v>
      </c>
    </row>
    <row r="1498" spans="1:21" ht="20.399999999999999">
      <c r="A1498" s="6">
        <v>43423.543217592596</v>
      </c>
      <c r="B1498" s="7" t="str">
        <f>HYPERLINK("https://twitter.com/neongrvestonvs","@neongrvestonvs")</f>
        <v>@neongrvestonvs</v>
      </c>
      <c r="C1498" s="8" t="s">
        <v>5373</v>
      </c>
      <c r="D1498" s="9" t="s">
        <v>5374</v>
      </c>
      <c r="E1498" s="10" t="str">
        <f>HYPERLINK("https://twitter.com/neongrvestonvs/status/1064624914488049664","1064624914488049664")</f>
        <v>1064624914488049664</v>
      </c>
      <c r="F1498" s="12"/>
      <c r="G1498" s="12"/>
      <c r="H1498" s="12"/>
      <c r="I1498" s="13">
        <v>0</v>
      </c>
      <c r="J1498" s="13">
        <v>3</v>
      </c>
      <c r="K1498" s="14" t="str">
        <f>HYPERLINK("http://twitter.com/download/iphone","Twitter for iPhone")</f>
        <v>Twitter for iPhone</v>
      </c>
      <c r="L1498" s="13">
        <v>973</v>
      </c>
      <c r="M1498" s="13">
        <v>194</v>
      </c>
      <c r="N1498" s="13">
        <v>35</v>
      </c>
      <c r="O1498" s="15"/>
      <c r="P1498" s="6">
        <v>43039.296273148153</v>
      </c>
      <c r="Q1498" s="17" t="s">
        <v>5375</v>
      </c>
      <c r="R1498" s="16" t="s">
        <v>5376</v>
      </c>
      <c r="S1498" s="11" t="s">
        <v>5377</v>
      </c>
      <c r="T1498" s="12"/>
      <c r="U1498" s="10" t="str">
        <f>HYPERLINK("https://pbs.twimg.com/profile_images/1065647084626460672/UKO-Kqsk.jpg","View")</f>
        <v>View</v>
      </c>
    </row>
    <row r="1499" spans="1:21" ht="20.399999999999999">
      <c r="A1499" s="6">
        <v>43423.542870370366</v>
      </c>
      <c r="B1499" s="7" t="str">
        <f>HYPERLINK("https://twitter.com/elquenosecalla2","@elquenosecalla2")</f>
        <v>@elquenosecalla2</v>
      </c>
      <c r="C1499" s="8" t="s">
        <v>5378</v>
      </c>
      <c r="D1499" s="9" t="s">
        <v>5379</v>
      </c>
      <c r="E1499" s="10" t="str">
        <f>HYPERLINK("https://twitter.com/elquenosecalla2/status/1064624790504394757","1064624790504394757")</f>
        <v>1064624790504394757</v>
      </c>
      <c r="F1499" s="12"/>
      <c r="G1499" s="12"/>
      <c r="H1499" s="12"/>
      <c r="I1499" s="13">
        <v>0</v>
      </c>
      <c r="J1499" s="13">
        <v>2</v>
      </c>
      <c r="K1499" s="14" t="str">
        <f t="shared" ref="K1499:K1500" si="271">HYPERLINK("http://twitter.com/download/android","Twitter for Android")</f>
        <v>Twitter for Android</v>
      </c>
      <c r="L1499" s="13">
        <v>31</v>
      </c>
      <c r="M1499" s="13">
        <v>32</v>
      </c>
      <c r="N1499" s="13">
        <v>0</v>
      </c>
      <c r="O1499" s="15"/>
      <c r="P1499" s="6">
        <v>43390.266736111109</v>
      </c>
      <c r="Q1499" s="17" t="s">
        <v>29</v>
      </c>
      <c r="R1499" s="16" t="s">
        <v>5380</v>
      </c>
      <c r="S1499" s="12"/>
      <c r="T1499" s="12"/>
      <c r="U1499" s="10" t="str">
        <f>HYPERLINK("https://pbs.twimg.com/profile_images/1052993423328862208/MMzd0-zn.jpg","View")</f>
        <v>View</v>
      </c>
    </row>
    <row r="1500" spans="1:21" ht="20.399999999999999">
      <c r="A1500" s="6">
        <v>43423.542638888888</v>
      </c>
      <c r="B1500" s="7" t="str">
        <f>HYPERLINK("https://twitter.com/Yurenasabio","@Yurenasabio")</f>
        <v>@Yurenasabio</v>
      </c>
      <c r="C1500" s="8" t="s">
        <v>5381</v>
      </c>
      <c r="D1500" s="21" t="s">
        <v>5382</v>
      </c>
      <c r="E1500" s="10" t="str">
        <f>HYPERLINK("https://twitter.com/Yurenasabio/status/1064624706425446400","1064624706425446400")</f>
        <v>1064624706425446400</v>
      </c>
      <c r="F1500" s="12"/>
      <c r="G1500" s="12"/>
      <c r="H1500" s="12"/>
      <c r="I1500" s="13">
        <v>0</v>
      </c>
      <c r="J1500" s="13">
        <v>4</v>
      </c>
      <c r="K1500" s="14" t="str">
        <f t="shared" si="271"/>
        <v>Twitter for Android</v>
      </c>
      <c r="L1500" s="13">
        <v>429</v>
      </c>
      <c r="M1500" s="13">
        <v>67</v>
      </c>
      <c r="N1500" s="13">
        <v>2</v>
      </c>
      <c r="O1500" s="15"/>
      <c r="P1500" s="6">
        <v>41608.185335648144</v>
      </c>
      <c r="Q1500" s="17" t="s">
        <v>3546</v>
      </c>
      <c r="R1500" s="16" t="s">
        <v>5383</v>
      </c>
      <c r="S1500" s="11" t="s">
        <v>5384</v>
      </c>
      <c r="T1500" s="12"/>
      <c r="U1500" s="10" t="str">
        <f>HYPERLINK("https://pbs.twimg.com/profile_images/885074589566611458/yc0SOwlR.jpg","View")</f>
        <v>View</v>
      </c>
    </row>
    <row r="1501" spans="1:21" ht="30.6">
      <c r="A1501" s="6">
        <v>43423.542592592596</v>
      </c>
      <c r="B1501" s="7" t="str">
        <f>HYPERLINK("https://twitter.com/rmontesu","@rmontesu")</f>
        <v>@rmontesu</v>
      </c>
      <c r="C1501" s="8" t="s">
        <v>5385</v>
      </c>
      <c r="D1501" s="9" t="s">
        <v>5386</v>
      </c>
      <c r="E1501" s="10" t="str">
        <f>HYPERLINK("https://twitter.com/rmontesu/status/1064624691741147137","1064624691741147137")</f>
        <v>1064624691741147137</v>
      </c>
      <c r="F1501" s="12"/>
      <c r="G1501" s="12"/>
      <c r="H1501" s="12"/>
      <c r="I1501" s="13">
        <v>0</v>
      </c>
      <c r="J1501" s="13">
        <v>0</v>
      </c>
      <c r="K1501" s="14" t="str">
        <f>HYPERLINK("http://twitter.com/download/iphone","Twitter for iPhone")</f>
        <v>Twitter for iPhone</v>
      </c>
      <c r="L1501" s="13">
        <v>937</v>
      </c>
      <c r="M1501" s="13">
        <v>1265</v>
      </c>
      <c r="N1501" s="13">
        <v>7</v>
      </c>
      <c r="O1501" s="15"/>
      <c r="P1501" s="6">
        <v>40658.183356481481</v>
      </c>
      <c r="Q1501" s="12"/>
      <c r="R1501" s="16" t="s">
        <v>5387</v>
      </c>
      <c r="S1501" s="12"/>
      <c r="T1501" s="12"/>
      <c r="U1501" s="10" t="str">
        <f>HYPERLINK("https://pbs.twimg.com/profile_images/1324691242/Samsung_020.jpg","View")</f>
        <v>View</v>
      </c>
    </row>
    <row r="1502" spans="1:21" ht="40.799999999999997">
      <c r="A1502" s="6">
        <v>43423.542349537034</v>
      </c>
      <c r="B1502" s="7" t="str">
        <f>HYPERLINK("https://twitter.com/Cambio16","@Cambio16")</f>
        <v>@Cambio16</v>
      </c>
      <c r="C1502" s="8" t="s">
        <v>953</v>
      </c>
      <c r="D1502" s="9" t="s">
        <v>5388</v>
      </c>
      <c r="E1502" s="10" t="str">
        <f>HYPERLINK("https://twitter.com/Cambio16/status/1064624603786608640","1064624603786608640")</f>
        <v>1064624603786608640</v>
      </c>
      <c r="F1502" s="11" t="s">
        <v>5389</v>
      </c>
      <c r="G1502" s="11" t="s">
        <v>5390</v>
      </c>
      <c r="H1502" s="12"/>
      <c r="I1502" s="13">
        <v>0</v>
      </c>
      <c r="J1502" s="13">
        <v>0</v>
      </c>
      <c r="K1502" s="14" t="str">
        <f>HYPERLINK("https://www.hootsuite.com","Hootsuite Inc.")</f>
        <v>Hootsuite Inc.</v>
      </c>
      <c r="L1502" s="13">
        <v>17345</v>
      </c>
      <c r="M1502" s="13">
        <v>765</v>
      </c>
      <c r="N1502" s="13">
        <v>499</v>
      </c>
      <c r="O1502" s="15"/>
      <c r="P1502" s="6">
        <v>40341.117245370369</v>
      </c>
      <c r="Q1502" s="17" t="s">
        <v>143</v>
      </c>
      <c r="R1502" s="16" t="s">
        <v>958</v>
      </c>
      <c r="S1502" s="11" t="s">
        <v>959</v>
      </c>
      <c r="T1502" s="12"/>
      <c r="U1502" s="10" t="str">
        <f>HYPERLINK("https://pbs.twimg.com/profile_images/1060221846208069632/vJfJ3_T5.jpg","View")</f>
        <v>View</v>
      </c>
    </row>
    <row r="1503" spans="1:21" ht="20.399999999999999">
      <c r="A1503" s="6">
        <v>43423.542280092588</v>
      </c>
      <c r="B1503" s="7" t="str">
        <f>HYPERLINK("https://twitter.com/P_Badia","@P_Badia")</f>
        <v>@P_Badia</v>
      </c>
      <c r="C1503" s="8" t="s">
        <v>5391</v>
      </c>
      <c r="D1503" s="9" t="s">
        <v>5392</v>
      </c>
      <c r="E1503" s="10" t="str">
        <f>HYPERLINK("https://twitter.com/P_Badia/status/1064624576771121152","1064624576771121152")</f>
        <v>1064624576771121152</v>
      </c>
      <c r="F1503" s="12"/>
      <c r="G1503" s="12"/>
      <c r="H1503" s="12"/>
      <c r="I1503" s="13">
        <v>0</v>
      </c>
      <c r="J1503" s="13">
        <v>0</v>
      </c>
      <c r="K1503" s="14" t="str">
        <f t="shared" ref="K1503:K1504" si="272">HYPERLINK("http://twitter.com/download/android","Twitter for Android")</f>
        <v>Twitter for Android</v>
      </c>
      <c r="L1503" s="13">
        <v>1043</v>
      </c>
      <c r="M1503" s="13">
        <v>707</v>
      </c>
      <c r="N1503" s="13">
        <v>48</v>
      </c>
      <c r="O1503" s="15"/>
      <c r="P1503" s="6">
        <v>40855.364131944443</v>
      </c>
      <c r="Q1503" s="17" t="s">
        <v>76</v>
      </c>
      <c r="R1503" s="16" t="s">
        <v>5393</v>
      </c>
      <c r="S1503" s="11" t="s">
        <v>5394</v>
      </c>
      <c r="T1503" s="12"/>
      <c r="U1503" s="10" t="str">
        <f>HYPERLINK("https://pbs.twimg.com/profile_images/1629066834/16p.jpg","View")</f>
        <v>View</v>
      </c>
    </row>
    <row r="1504" spans="1:21" ht="20.399999999999999">
      <c r="A1504" s="6">
        <v>43423.542048611111</v>
      </c>
      <c r="B1504" s="7" t="str">
        <f>HYPERLINK("https://twitter.com/BegotxuBoo","@BegotxuBoo")</f>
        <v>@BegotxuBoo</v>
      </c>
      <c r="C1504" s="8" t="s">
        <v>1964</v>
      </c>
      <c r="D1504" s="9" t="s">
        <v>5395</v>
      </c>
      <c r="E1504" s="10" t="str">
        <f>HYPERLINK("https://twitter.com/BegotxuBoo/status/1064624492784349184","1064624492784349184")</f>
        <v>1064624492784349184</v>
      </c>
      <c r="F1504" s="12"/>
      <c r="G1504" s="12"/>
      <c r="H1504" s="12"/>
      <c r="I1504" s="13">
        <v>1</v>
      </c>
      <c r="J1504" s="13">
        <v>10</v>
      </c>
      <c r="K1504" s="14" t="str">
        <f t="shared" si="272"/>
        <v>Twitter for Android</v>
      </c>
      <c r="L1504" s="13">
        <v>13446</v>
      </c>
      <c r="M1504" s="13">
        <v>626</v>
      </c>
      <c r="N1504" s="13">
        <v>153</v>
      </c>
      <c r="O1504" s="15"/>
      <c r="P1504" s="6">
        <v>41150.160833333335</v>
      </c>
      <c r="Q1504" s="12"/>
      <c r="R1504" s="16" t="s">
        <v>1966</v>
      </c>
      <c r="S1504" s="12"/>
      <c r="T1504" s="12"/>
      <c r="U1504" s="10" t="str">
        <f>HYPERLINK("https://pbs.twimg.com/profile_images/534266200818483200/_78fiChL.jpeg","View")</f>
        <v>View</v>
      </c>
    </row>
    <row r="1505" spans="1:21" ht="20.399999999999999">
      <c r="A1505" s="6">
        <v>43423.542037037041</v>
      </c>
      <c r="B1505" s="7" t="str">
        <f>HYPERLINK("https://twitter.com/elpunkdemon","@elpunkdemon")</f>
        <v>@elpunkdemon</v>
      </c>
      <c r="C1505" s="8" t="s">
        <v>5396</v>
      </c>
      <c r="D1505" s="9" t="s">
        <v>5397</v>
      </c>
      <c r="E1505" s="10" t="str">
        <f>HYPERLINK("https://twitter.com/elpunkdemon/status/1064624486912266240","1064624486912266240")</f>
        <v>1064624486912266240</v>
      </c>
      <c r="F1505" s="12"/>
      <c r="G1505" s="12"/>
      <c r="H1505" s="12"/>
      <c r="I1505" s="13">
        <v>0</v>
      </c>
      <c r="J1505" s="13">
        <v>1</v>
      </c>
      <c r="K1505" s="14" t="str">
        <f>HYPERLINK("https://mobile.twitter.com","Mobile Web (M2)")</f>
        <v>Mobile Web (M2)</v>
      </c>
      <c r="L1505" s="13">
        <v>1591</v>
      </c>
      <c r="M1505" s="13">
        <v>1568</v>
      </c>
      <c r="N1505" s="13">
        <v>45</v>
      </c>
      <c r="O1505" s="15"/>
      <c r="P1505" s="6">
        <v>40745.70045138889</v>
      </c>
      <c r="Q1505" s="17" t="s">
        <v>5398</v>
      </c>
      <c r="R1505" s="16" t="s">
        <v>5399</v>
      </c>
      <c r="S1505" s="11" t="s">
        <v>5400</v>
      </c>
      <c r="T1505" s="12"/>
      <c r="U1505" s="10" t="str">
        <f>HYPERLINK("https://pbs.twimg.com/profile_images/581533125928423424/gDC6V4Zz.jpg","View")</f>
        <v>View</v>
      </c>
    </row>
    <row r="1506" spans="1:21" ht="20.399999999999999">
      <c r="A1506" s="6">
        <v>43423.54178240741</v>
      </c>
      <c r="B1506" s="7" t="str">
        <f>HYPERLINK("https://twitter.com/Yesuisla","@Yesuisla")</f>
        <v>@Yesuisla</v>
      </c>
      <c r="C1506" s="8" t="s">
        <v>5401</v>
      </c>
      <c r="D1506" s="9" t="s">
        <v>5402</v>
      </c>
      <c r="E1506" s="10" t="str">
        <f>HYPERLINK("https://twitter.com/Yesuisla/status/1064624395115814913","1064624395115814913")</f>
        <v>1064624395115814913</v>
      </c>
      <c r="F1506" s="11" t="s">
        <v>5403</v>
      </c>
      <c r="G1506" s="12"/>
      <c r="H1506" s="12"/>
      <c r="I1506" s="13">
        <v>0</v>
      </c>
      <c r="J1506" s="13">
        <v>0</v>
      </c>
      <c r="K1506" s="14" t="str">
        <f t="shared" ref="K1506:K1507" si="273">HYPERLINK("http://twitter.com/download/iphone","Twitter for iPhone")</f>
        <v>Twitter for iPhone</v>
      </c>
      <c r="L1506" s="13">
        <v>460</v>
      </c>
      <c r="M1506" s="13">
        <v>880</v>
      </c>
      <c r="N1506" s="13">
        <v>21</v>
      </c>
      <c r="O1506" s="15"/>
      <c r="P1506" s="6">
        <v>40621.30678240741</v>
      </c>
      <c r="Q1506" s="12"/>
      <c r="R1506" s="18"/>
      <c r="S1506" s="12"/>
      <c r="T1506" s="12"/>
      <c r="U1506" s="10" t="str">
        <f>HYPERLINK("https://pbs.twimg.com/profile_images/1279233539/kenshin_himura.jpg","View")</f>
        <v>View</v>
      </c>
    </row>
    <row r="1507" spans="1:21" ht="30.6">
      <c r="A1507" s="6">
        <v>43423.541770833333</v>
      </c>
      <c r="B1507" s="7" t="str">
        <f>HYPERLINK("https://twitter.com/AngelaFerrer7","@AngelaFerrer7")</f>
        <v>@AngelaFerrer7</v>
      </c>
      <c r="C1507" s="8" t="s">
        <v>5404</v>
      </c>
      <c r="D1507" s="9" t="s">
        <v>5405</v>
      </c>
      <c r="E1507" s="10" t="str">
        <f>HYPERLINK("https://twitter.com/AngelaFerrer7/status/1064624391097643009","1064624391097643009")</f>
        <v>1064624391097643009</v>
      </c>
      <c r="F1507" s="12"/>
      <c r="G1507" s="12"/>
      <c r="H1507" s="12"/>
      <c r="I1507" s="13">
        <v>1</v>
      </c>
      <c r="J1507" s="13">
        <v>3</v>
      </c>
      <c r="K1507" s="14" t="str">
        <f t="shared" si="273"/>
        <v>Twitter for iPhone</v>
      </c>
      <c r="L1507" s="13">
        <v>948</v>
      </c>
      <c r="M1507" s="13">
        <v>1427</v>
      </c>
      <c r="N1507" s="13">
        <v>6</v>
      </c>
      <c r="O1507" s="15"/>
      <c r="P1507" s="6">
        <v>40865.180277777778</v>
      </c>
      <c r="Q1507" s="17" t="s">
        <v>5406</v>
      </c>
      <c r="R1507" s="16" t="s">
        <v>5407</v>
      </c>
      <c r="S1507" s="12"/>
      <c r="T1507" s="12"/>
      <c r="U1507" s="10" t="str">
        <f>HYPERLINK("https://pbs.twimg.com/profile_images/1033470166624088065/uvIaZ3mH.jpg","View")</f>
        <v>View</v>
      </c>
    </row>
    <row r="1508" spans="1:21" ht="20.399999999999999">
      <c r="A1508" s="6">
        <v>43423.541712962964</v>
      </c>
      <c r="B1508" s="7" t="str">
        <f>HYPERLINK("https://twitter.com/villaykorte","@villaykorte")</f>
        <v>@villaykorte</v>
      </c>
      <c r="C1508" s="8" t="s">
        <v>5408</v>
      </c>
      <c r="D1508" s="9" t="s">
        <v>5409</v>
      </c>
      <c r="E1508" s="10" t="str">
        <f>HYPERLINK("https://twitter.com/villaykorte/status/1064624369245347841","1064624369245347841")</f>
        <v>1064624369245347841</v>
      </c>
      <c r="F1508" s="12"/>
      <c r="G1508" s="12"/>
      <c r="H1508" s="12"/>
      <c r="I1508" s="13">
        <v>0</v>
      </c>
      <c r="J1508" s="13">
        <v>0</v>
      </c>
      <c r="K1508" s="14" t="str">
        <f t="shared" ref="K1508:K1509" si="274">HYPERLINK("http://twitter.com","Twitter Web Client")</f>
        <v>Twitter Web Client</v>
      </c>
      <c r="L1508" s="13">
        <v>180</v>
      </c>
      <c r="M1508" s="13">
        <v>141</v>
      </c>
      <c r="N1508" s="13">
        <v>10</v>
      </c>
      <c r="O1508" s="15"/>
      <c r="P1508" s="6">
        <v>39392.68540509259</v>
      </c>
      <c r="Q1508" s="17" t="s">
        <v>76</v>
      </c>
      <c r="R1508" s="16" t="s">
        <v>5410</v>
      </c>
      <c r="S1508" s="12"/>
      <c r="T1508" s="12"/>
      <c r="U1508" s="10" t="str">
        <f>HYPERLINK("https://pbs.twimg.com/profile_images/1061690566889693185/_eqeqQlu.jpg","View")</f>
        <v>View</v>
      </c>
    </row>
    <row r="1509" spans="1:21" ht="30.6">
      <c r="A1509" s="6">
        <v>43423.541643518518</v>
      </c>
      <c r="B1509" s="7" t="str">
        <f>HYPERLINK("https://twitter.com/Zabaloenea","@Zabaloenea")</f>
        <v>@Zabaloenea</v>
      </c>
      <c r="C1509" s="8" t="s">
        <v>5411</v>
      </c>
      <c r="D1509" s="9" t="s">
        <v>5412</v>
      </c>
      <c r="E1509" s="10" t="str">
        <f>HYPERLINK("https://twitter.com/Zabaloenea/status/1064624345534869504","1064624345534869504")</f>
        <v>1064624345534869504</v>
      </c>
      <c r="F1509" s="12"/>
      <c r="G1509" s="12"/>
      <c r="H1509" s="12"/>
      <c r="I1509" s="13">
        <v>0</v>
      </c>
      <c r="J1509" s="13">
        <v>0</v>
      </c>
      <c r="K1509" s="14" t="str">
        <f t="shared" si="274"/>
        <v>Twitter Web Client</v>
      </c>
      <c r="L1509" s="13">
        <v>577</v>
      </c>
      <c r="M1509" s="13">
        <v>595</v>
      </c>
      <c r="N1509" s="13">
        <v>18</v>
      </c>
      <c r="O1509" s="15"/>
      <c r="P1509" s="6">
        <v>40498.521689814814</v>
      </c>
      <c r="Q1509" s="17" t="s">
        <v>5413</v>
      </c>
      <c r="R1509" s="18"/>
      <c r="S1509" s="11" t="s">
        <v>5414</v>
      </c>
      <c r="T1509" s="12"/>
      <c r="U1509" s="10" t="str">
        <f>HYPERLINK("https://pbs.twimg.com/profile_images/748623573049303040/zwa3BpNe.jpg","View")</f>
        <v>View</v>
      </c>
    </row>
    <row r="1510" spans="1:21" ht="40.799999999999997">
      <c r="A1510" s="6">
        <v>43423.541354166664</v>
      </c>
      <c r="B1510" s="7" t="str">
        <f>HYPERLINK("https://twitter.com/Santi_G_F","@Santi_G_F")</f>
        <v>@Santi_G_F</v>
      </c>
      <c r="C1510" s="8" t="s">
        <v>2958</v>
      </c>
      <c r="D1510" s="9" t="s">
        <v>5415</v>
      </c>
      <c r="E1510" s="10" t="str">
        <f>HYPERLINK("https://twitter.com/Santi_G_F/status/1064624239188328448","1064624239188328448")</f>
        <v>1064624239188328448</v>
      </c>
      <c r="F1510" s="12"/>
      <c r="G1510" s="12"/>
      <c r="H1510" s="12"/>
      <c r="I1510" s="13">
        <v>0</v>
      </c>
      <c r="J1510" s="13">
        <v>0</v>
      </c>
      <c r="K1510" s="14" t="str">
        <f>HYPERLINK("http://www.facebook.com/twitter","Facebook")</f>
        <v>Facebook</v>
      </c>
      <c r="L1510" s="13">
        <v>196</v>
      </c>
      <c r="M1510" s="13">
        <v>286</v>
      </c>
      <c r="N1510" s="13">
        <v>2</v>
      </c>
      <c r="O1510" s="15"/>
      <c r="P1510" s="6">
        <v>42417.134548611109</v>
      </c>
      <c r="Q1510" s="12"/>
      <c r="R1510" s="16" t="s">
        <v>2960</v>
      </c>
      <c r="S1510" s="12"/>
      <c r="T1510" s="12"/>
      <c r="U1510" s="10" t="str">
        <f>HYPERLINK("https://pbs.twimg.com/profile_images/706241638981636096/FMN7rgKx.jpg","View")</f>
        <v>View</v>
      </c>
    </row>
    <row r="1511" spans="1:21" ht="30.6">
      <c r="A1511" s="6">
        <v>43423.541192129633</v>
      </c>
      <c r="B1511" s="7" t="str">
        <f>HYPERLINK("https://twitter.com/carollovesgaga","@carollovesgaga")</f>
        <v>@carollovesgaga</v>
      </c>
      <c r="C1511" s="8" t="s">
        <v>5416</v>
      </c>
      <c r="D1511" s="9" t="s">
        <v>5417</v>
      </c>
      <c r="E1511" s="10" t="str">
        <f>HYPERLINK("https://twitter.com/carollovesgaga/status/1064624180962963457","1064624180962963457")</f>
        <v>1064624180962963457</v>
      </c>
      <c r="F1511" s="12"/>
      <c r="G1511" s="12"/>
      <c r="H1511" s="12"/>
      <c r="I1511" s="13">
        <v>0</v>
      </c>
      <c r="J1511" s="13">
        <v>3</v>
      </c>
      <c r="K1511" s="14" t="str">
        <f>HYPERLINK("http://twitter.com/download/android","Twitter for Android")</f>
        <v>Twitter for Android</v>
      </c>
      <c r="L1511" s="13">
        <v>97</v>
      </c>
      <c r="M1511" s="13">
        <v>285</v>
      </c>
      <c r="N1511" s="13">
        <v>6</v>
      </c>
      <c r="O1511" s="15"/>
      <c r="P1511" s="6">
        <v>42172.414270833338</v>
      </c>
      <c r="Q1511" s="17" t="s">
        <v>638</v>
      </c>
      <c r="R1511" s="16" t="s">
        <v>5418</v>
      </c>
      <c r="S1511" s="12"/>
      <c r="T1511" s="12"/>
      <c r="U1511" s="10" t="str">
        <f>HYPERLINK("https://pbs.twimg.com/profile_images/1064272766080376837/LJ9WpPZa.jpg","View")</f>
        <v>View</v>
      </c>
    </row>
    <row r="1512" spans="1:21" ht="20.399999999999999">
      <c r="A1512" s="6">
        <v>43423.541134259256</v>
      </c>
      <c r="B1512" s="7" t="str">
        <f>HYPERLINK("https://twitter.com/evanpezu","@evanpezu")</f>
        <v>@evanpezu</v>
      </c>
      <c r="C1512" s="8" t="s">
        <v>5419</v>
      </c>
      <c r="D1512" s="9" t="s">
        <v>5420</v>
      </c>
      <c r="E1512" s="10" t="str">
        <f>HYPERLINK("https://twitter.com/evanpezu/status/1064624161446916099","1064624161446916099")</f>
        <v>1064624161446916099</v>
      </c>
      <c r="F1512" s="12"/>
      <c r="G1512" s="12"/>
      <c r="H1512" s="12"/>
      <c r="I1512" s="13">
        <v>2</v>
      </c>
      <c r="J1512" s="13">
        <v>4</v>
      </c>
      <c r="K1512" s="14" t="str">
        <f t="shared" ref="K1512:K1514" si="275">HYPERLINK("http://twitter.com","Twitter Web Client")</f>
        <v>Twitter Web Client</v>
      </c>
      <c r="L1512" s="13">
        <v>4332</v>
      </c>
      <c r="M1512" s="13">
        <v>4008</v>
      </c>
      <c r="N1512" s="13">
        <v>54</v>
      </c>
      <c r="O1512" s="15"/>
      <c r="P1512" s="6">
        <v>41346.196770833332</v>
      </c>
      <c r="Q1512" s="17" t="s">
        <v>26</v>
      </c>
      <c r="R1512" s="16" t="s">
        <v>5421</v>
      </c>
      <c r="S1512" s="12"/>
      <c r="T1512" s="12"/>
      <c r="U1512" s="10" t="str">
        <f>HYPERLINK("https://pbs.twimg.com/profile_images/1014992281479327749/7kB6hiz-.jpg","View")</f>
        <v>View</v>
      </c>
    </row>
    <row r="1513" spans="1:21" ht="30.6">
      <c r="A1513" s="6">
        <v>43423.540810185186</v>
      </c>
      <c r="B1513" s="7" t="str">
        <f>HYPERLINK("https://twitter.com/jcsguirao","@jcsguirao")</f>
        <v>@jcsguirao</v>
      </c>
      <c r="C1513" s="8" t="s">
        <v>5422</v>
      </c>
      <c r="D1513" s="9" t="s">
        <v>5423</v>
      </c>
      <c r="E1513" s="10" t="str">
        <f>HYPERLINK("https://twitter.com/jcsguirao/status/1064624045835132928","1064624045835132928")</f>
        <v>1064624045835132928</v>
      </c>
      <c r="F1513" s="12"/>
      <c r="G1513" s="12"/>
      <c r="H1513" s="12"/>
      <c r="I1513" s="13">
        <v>0</v>
      </c>
      <c r="J1513" s="13">
        <v>0</v>
      </c>
      <c r="K1513" s="14" t="str">
        <f t="shared" si="275"/>
        <v>Twitter Web Client</v>
      </c>
      <c r="L1513" s="13">
        <v>456</v>
      </c>
      <c r="M1513" s="13">
        <v>575</v>
      </c>
      <c r="N1513" s="13">
        <v>26</v>
      </c>
      <c r="O1513" s="15"/>
      <c r="P1513" s="6">
        <v>40292.352893518517</v>
      </c>
      <c r="Q1513" s="17" t="s">
        <v>5424</v>
      </c>
      <c r="R1513" s="16" t="s">
        <v>5425</v>
      </c>
      <c r="S1513" s="11" t="s">
        <v>5426</v>
      </c>
      <c r="T1513" s="12"/>
      <c r="U1513" s="10" t="str">
        <f>HYPERLINK("https://pbs.twimg.com/profile_images/962791373157097473/JLEn1eQB.jpg","View")</f>
        <v>View</v>
      </c>
    </row>
    <row r="1514" spans="1:21" ht="20.399999999999999">
      <c r="A1514" s="6">
        <v>43423.538124999999</v>
      </c>
      <c r="B1514" s="7" t="str">
        <f>HYPERLINK("https://twitter.com/Anna97mg","@Anna97mg")</f>
        <v>@Anna97mg</v>
      </c>
      <c r="C1514" s="8" t="s">
        <v>5427</v>
      </c>
      <c r="D1514" s="9" t="s">
        <v>5428</v>
      </c>
      <c r="E1514" s="10" t="str">
        <f>HYPERLINK("https://twitter.com/Anna97mg/status/1064623070739075072","1064623070739075072")</f>
        <v>1064623070739075072</v>
      </c>
      <c r="F1514" s="12"/>
      <c r="G1514" s="12"/>
      <c r="H1514" s="12"/>
      <c r="I1514" s="13">
        <v>0</v>
      </c>
      <c r="J1514" s="13">
        <v>0</v>
      </c>
      <c r="K1514" s="14" t="str">
        <f t="shared" si="275"/>
        <v>Twitter Web Client</v>
      </c>
      <c r="L1514" s="13">
        <v>351</v>
      </c>
      <c r="M1514" s="13">
        <v>620</v>
      </c>
      <c r="N1514" s="13">
        <v>5</v>
      </c>
      <c r="O1514" s="15"/>
      <c r="P1514" s="6">
        <v>41152.618668981479</v>
      </c>
      <c r="Q1514" s="12"/>
      <c r="R1514" s="16" t="s">
        <v>5429</v>
      </c>
      <c r="S1514" s="12"/>
      <c r="T1514" s="12"/>
      <c r="U1514" s="10" t="str">
        <f>HYPERLINK("https://pbs.twimg.com/profile_images/773148941714087936/9V8d7MBS.jpg","View")</f>
        <v>View</v>
      </c>
    </row>
    <row r="1515" spans="1:21" ht="40.799999999999997">
      <c r="A1515" s="6">
        <v>43423.536979166667</v>
      </c>
      <c r="B1515" s="7" t="str">
        <f>HYPERLINK("https://twitter.com/KPalleiro","@KPalleiro")</f>
        <v>@KPalleiro</v>
      </c>
      <c r="C1515" s="8" t="s">
        <v>5430</v>
      </c>
      <c r="D1515" s="9" t="s">
        <v>5431</v>
      </c>
      <c r="E1515" s="10" t="str">
        <f>HYPERLINK("https://twitter.com/KPalleiro/status/1064622656102834176","1064622656102834176")</f>
        <v>1064622656102834176</v>
      </c>
      <c r="F1515" s="12"/>
      <c r="G1515" s="12"/>
      <c r="H1515" s="12"/>
      <c r="I1515" s="13">
        <v>0</v>
      </c>
      <c r="J1515" s="13">
        <v>0</v>
      </c>
      <c r="K1515" s="14" t="str">
        <f>HYPERLINK("http://twitter.com/download/android","Twitter for Android")</f>
        <v>Twitter for Android</v>
      </c>
      <c r="L1515" s="13">
        <v>46</v>
      </c>
      <c r="M1515" s="13">
        <v>103</v>
      </c>
      <c r="N1515" s="13">
        <v>0</v>
      </c>
      <c r="O1515" s="15"/>
      <c r="P1515" s="6">
        <v>43328.649918981479</v>
      </c>
      <c r="Q1515" s="17" t="s">
        <v>5432</v>
      </c>
      <c r="R1515" s="16" t="s">
        <v>5433</v>
      </c>
      <c r="S1515" s="12"/>
      <c r="T1515" s="12"/>
      <c r="U1515" s="10" t="str">
        <f>HYPERLINK("https://pbs.twimg.com/profile_images/1030222523177361408/N_Io71nz.jpg","View")</f>
        <v>View</v>
      </c>
    </row>
    <row r="1516" spans="1:21" ht="20.399999999999999">
      <c r="A1516" s="6">
        <v>43423.536909722221</v>
      </c>
      <c r="B1516" s="7" t="str">
        <f>HYPERLINK("https://twitter.com/ecorepublicano","@ecorepublicano")</f>
        <v>@ecorepublicano</v>
      </c>
      <c r="C1516" s="8" t="s">
        <v>3921</v>
      </c>
      <c r="D1516" s="9" t="s">
        <v>3922</v>
      </c>
      <c r="E1516" s="10" t="str">
        <f>HYPERLINK("https://twitter.com/ecorepublicano/status/1064622628571422720","1064622628571422720")</f>
        <v>1064622628571422720</v>
      </c>
      <c r="F1516" s="11" t="s">
        <v>3484</v>
      </c>
      <c r="G1516" s="11" t="s">
        <v>5434</v>
      </c>
      <c r="H1516" s="12"/>
      <c r="I1516" s="13">
        <v>24</v>
      </c>
      <c r="J1516" s="13">
        <v>73</v>
      </c>
      <c r="K1516" s="14" t="str">
        <f>HYPERLINK("http://twitter.com","Twitter Web Client")</f>
        <v>Twitter Web Client</v>
      </c>
      <c r="L1516" s="13">
        <v>174610</v>
      </c>
      <c r="M1516" s="13">
        <v>93442</v>
      </c>
      <c r="N1516" s="13">
        <v>843</v>
      </c>
      <c r="O1516" s="15"/>
      <c r="P1516" s="6">
        <v>40686.190243055556</v>
      </c>
      <c r="Q1516" s="17" t="s">
        <v>29</v>
      </c>
      <c r="R1516" s="16" t="s">
        <v>3925</v>
      </c>
      <c r="S1516" s="11" t="s">
        <v>3926</v>
      </c>
      <c r="T1516" s="12"/>
      <c r="U1516" s="10" t="str">
        <f>HYPERLINK("https://pbs.twimg.com/profile_images/1017891325029572608/lFqOkfFM.jpg","View")</f>
        <v>View</v>
      </c>
    </row>
    <row r="1517" spans="1:21" ht="30.6">
      <c r="A1517" s="6">
        <v>43423.535879629635</v>
      </c>
      <c r="B1517" s="7" t="str">
        <f>HYPERLINK("https://twitter.com/Soy_Mamba_Negra","@Soy_Mamba_Negra")</f>
        <v>@Soy_Mamba_Negra</v>
      </c>
      <c r="C1517" s="8" t="s">
        <v>5435</v>
      </c>
      <c r="D1517" s="9" t="s">
        <v>5436</v>
      </c>
      <c r="E1517" s="10" t="str">
        <f>HYPERLINK("https://twitter.com/Soy_Mamba_Negra/status/1064622259090931714","1064622259090931714")</f>
        <v>1064622259090931714</v>
      </c>
      <c r="F1517" s="12"/>
      <c r="G1517" s="12"/>
      <c r="H1517" s="12"/>
      <c r="I1517" s="13">
        <v>0</v>
      </c>
      <c r="J1517" s="13">
        <v>0</v>
      </c>
      <c r="K1517" s="14" t="str">
        <f>HYPERLINK("http://twitter.com/download/android","Twitter for Android")</f>
        <v>Twitter for Android</v>
      </c>
      <c r="L1517" s="13">
        <v>391</v>
      </c>
      <c r="M1517" s="13">
        <v>394</v>
      </c>
      <c r="N1517" s="13">
        <v>0</v>
      </c>
      <c r="O1517" s="15"/>
      <c r="P1517" s="6">
        <v>43009.277939814812</v>
      </c>
      <c r="Q1517" s="12"/>
      <c r="R1517" s="16" t="s">
        <v>5437</v>
      </c>
      <c r="S1517" s="12"/>
      <c r="T1517" s="12"/>
      <c r="U1517" s="10" t="str">
        <f>HYPERLINK("https://pbs.twimg.com/profile_images/1018641670630526977/TU3hH56j.jpg","View")</f>
        <v>View</v>
      </c>
    </row>
    <row r="1518" spans="1:21" ht="30.6">
      <c r="A1518" s="6">
        <v>43423.535497685181</v>
      </c>
      <c r="B1518" s="7" t="str">
        <f>HYPERLINK("https://twitter.com/PilotoRojo73","@PilotoRojo73")</f>
        <v>@PilotoRojo73</v>
      </c>
      <c r="C1518" s="8" t="s">
        <v>413</v>
      </c>
      <c r="D1518" s="9" t="s">
        <v>5438</v>
      </c>
      <c r="E1518" s="10" t="str">
        <f>HYPERLINK("https://twitter.com/PilotoRojo73/status/1064622120620167168","1064622120620167168")</f>
        <v>1064622120620167168</v>
      </c>
      <c r="F1518" s="11" t="s">
        <v>401</v>
      </c>
      <c r="G1518" s="12"/>
      <c r="H1518" s="12"/>
      <c r="I1518" s="13">
        <v>1</v>
      </c>
      <c r="J1518" s="13">
        <v>0</v>
      </c>
      <c r="K1518" s="14" t="str">
        <f>HYPERLINK("http://twitter.com","Twitter Web Client")</f>
        <v>Twitter Web Client</v>
      </c>
      <c r="L1518" s="13">
        <v>10216</v>
      </c>
      <c r="M1518" s="13">
        <v>7890</v>
      </c>
      <c r="N1518" s="13">
        <v>60</v>
      </c>
      <c r="O1518" s="15"/>
      <c r="P1518" s="6">
        <v>42493.663310185184</v>
      </c>
      <c r="Q1518" s="17" t="s">
        <v>415</v>
      </c>
      <c r="R1518" s="16" t="s">
        <v>416</v>
      </c>
      <c r="S1518" s="11" t="s">
        <v>417</v>
      </c>
      <c r="T1518" s="12"/>
      <c r="U1518" s="10" t="str">
        <f>HYPERLINK("https://pbs.twimg.com/profile_images/1051228030612492288/ocTykL51.jpg","View")</f>
        <v>View</v>
      </c>
    </row>
    <row r="1519" spans="1:21" ht="40.799999999999997">
      <c r="A1519" s="6">
        <v>43423.534884259258</v>
      </c>
      <c r="B1519" s="7" t="str">
        <f>HYPERLINK("https://twitter.com/caval100","@caval100")</f>
        <v>@caval100</v>
      </c>
      <c r="C1519" s="8" t="s">
        <v>1350</v>
      </c>
      <c r="D1519" s="9" t="s">
        <v>5439</v>
      </c>
      <c r="E1519" s="10" t="str">
        <f>HYPERLINK("https://twitter.com/caval100/status/1064621898284306432","1064621898284306432")</f>
        <v>1064621898284306432</v>
      </c>
      <c r="F1519" s="11" t="s">
        <v>5440</v>
      </c>
      <c r="G1519" s="12"/>
      <c r="H1519" s="12"/>
      <c r="I1519" s="13">
        <v>3</v>
      </c>
      <c r="J1519" s="13">
        <v>3</v>
      </c>
      <c r="K1519" s="14" t="str">
        <f>HYPERLINK("http://twitter.com/download/android","Twitter for Android")</f>
        <v>Twitter for Android</v>
      </c>
      <c r="L1519" s="13">
        <v>119224</v>
      </c>
      <c r="M1519" s="13">
        <v>94076</v>
      </c>
      <c r="N1519" s="13">
        <v>980</v>
      </c>
      <c r="O1519" s="15"/>
      <c r="P1519" s="6">
        <v>40079.062094907407</v>
      </c>
      <c r="Q1519" s="17" t="s">
        <v>971</v>
      </c>
      <c r="R1519" s="16" t="s">
        <v>1352</v>
      </c>
      <c r="S1519" s="11" t="s">
        <v>1353</v>
      </c>
      <c r="T1519" s="12"/>
      <c r="U1519" s="10" t="str">
        <f>HYPERLINK("https://pbs.twimg.com/profile_images/965350678301429760/uvGI7g8U.jpg","View")</f>
        <v>View</v>
      </c>
    </row>
    <row r="1520" spans="1:21" ht="61.2">
      <c r="A1520" s="6">
        <v>43423.53429398148</v>
      </c>
      <c r="B1520" s="7" t="str">
        <f>HYPERLINK("https://twitter.com/sotosinmas","@sotosinmas")</f>
        <v>@sotosinmas</v>
      </c>
      <c r="C1520" s="8" t="s">
        <v>2065</v>
      </c>
      <c r="D1520" s="9" t="s">
        <v>5441</v>
      </c>
      <c r="E1520" s="10" t="str">
        <f>HYPERLINK("https://twitter.com/sotosinmas/status/1064621683246596098","1064621683246596098")</f>
        <v>1064621683246596098</v>
      </c>
      <c r="F1520" s="17" t="s">
        <v>5442</v>
      </c>
      <c r="G1520" s="12"/>
      <c r="H1520" s="12"/>
      <c r="I1520" s="13">
        <v>0</v>
      </c>
      <c r="J1520" s="13">
        <v>2</v>
      </c>
      <c r="K1520" s="14" t="str">
        <f>HYPERLINK("http://twitter.com/download/iphone","Twitter for iPhone")</f>
        <v>Twitter for iPhone</v>
      </c>
      <c r="L1520" s="13">
        <v>4548</v>
      </c>
      <c r="M1520" s="13">
        <v>893</v>
      </c>
      <c r="N1520" s="13">
        <v>64</v>
      </c>
      <c r="O1520" s="15"/>
      <c r="P1520" s="6">
        <v>40661.546006944445</v>
      </c>
      <c r="Q1520" s="17" t="s">
        <v>29</v>
      </c>
      <c r="R1520" s="16" t="s">
        <v>2067</v>
      </c>
      <c r="S1520" s="12"/>
      <c r="T1520" s="12"/>
      <c r="U1520" s="10" t="str">
        <f>HYPERLINK("https://pbs.twimg.com/profile_images/986294607540572170/oDBR8wbt.jpg","View")</f>
        <v>View</v>
      </c>
    </row>
    <row r="1521" spans="1:21" ht="20.399999999999999">
      <c r="A1521" s="6">
        <v>43423.532638888893</v>
      </c>
      <c r="B1521" s="7" t="str">
        <f>HYPERLINK("https://twitter.com/obdriftwood","@obdriftwood")</f>
        <v>@obdriftwood</v>
      </c>
      <c r="C1521" s="8" t="s">
        <v>5443</v>
      </c>
      <c r="D1521" s="9" t="s">
        <v>5444</v>
      </c>
      <c r="E1521" s="10" t="str">
        <f>HYPERLINK("https://twitter.com/obdriftwood/status/1064621084648058886","1064621084648058886")</f>
        <v>1064621084648058886</v>
      </c>
      <c r="F1521" s="12"/>
      <c r="G1521" s="12"/>
      <c r="H1521" s="12"/>
      <c r="I1521" s="13">
        <v>15</v>
      </c>
      <c r="J1521" s="13">
        <v>28</v>
      </c>
      <c r="K1521" s="14" t="str">
        <f>HYPERLINK("https://about.twitter.com/products/tweetdeck","TweetDeck")</f>
        <v>TweetDeck</v>
      </c>
      <c r="L1521" s="13">
        <v>14985</v>
      </c>
      <c r="M1521" s="13">
        <v>910</v>
      </c>
      <c r="N1521" s="13">
        <v>451</v>
      </c>
      <c r="O1521" s="15"/>
      <c r="P1521" s="6">
        <v>39791.025462962964</v>
      </c>
      <c r="Q1521" s="17" t="s">
        <v>5445</v>
      </c>
      <c r="R1521" s="16" t="s">
        <v>5446</v>
      </c>
      <c r="S1521" s="11" t="s">
        <v>5447</v>
      </c>
      <c r="T1521" s="12"/>
      <c r="U1521" s="10" t="str">
        <f>HYPERLINK("https://pbs.twimg.com/profile_images/950690659949776896/kH8Un3N5.jpg","View")</f>
        <v>View</v>
      </c>
    </row>
    <row r="1522" spans="1:21" ht="40.799999999999997">
      <c r="A1522" s="6">
        <v>43423.528634259259</v>
      </c>
      <c r="B1522" s="7" t="str">
        <f>HYPERLINK("https://twitter.com/Javipchk","@Javipchk")</f>
        <v>@Javipchk</v>
      </c>
      <c r="C1522" s="8" t="s">
        <v>5448</v>
      </c>
      <c r="D1522" s="9" t="s">
        <v>5449</v>
      </c>
      <c r="E1522" s="10" t="str">
        <f>HYPERLINK("https://twitter.com/Javipchk/status/1064619633498574849","1064619633498574849")</f>
        <v>1064619633498574849</v>
      </c>
      <c r="F1522" s="12"/>
      <c r="G1522" s="12"/>
      <c r="H1522" s="12"/>
      <c r="I1522" s="13">
        <v>0</v>
      </c>
      <c r="J1522" s="13">
        <v>0</v>
      </c>
      <c r="K1522" s="14" t="str">
        <f>HYPERLINK("http://twitter.com/download/iphone","Twitter for iPhone")</f>
        <v>Twitter for iPhone</v>
      </c>
      <c r="L1522" s="13">
        <v>397</v>
      </c>
      <c r="M1522" s="13">
        <v>270</v>
      </c>
      <c r="N1522" s="13">
        <v>9</v>
      </c>
      <c r="O1522" s="15"/>
      <c r="P1522" s="6">
        <v>40475.499074074076</v>
      </c>
      <c r="Q1522" s="17" t="s">
        <v>5450</v>
      </c>
      <c r="R1522" s="16" t="s">
        <v>5451</v>
      </c>
      <c r="S1522" s="12"/>
      <c r="T1522" s="12"/>
      <c r="U1522" s="10" t="str">
        <f>HYPERLINK("https://pbs.twimg.com/profile_images/1064285836102066179/8jIP2i1U.jpg","View")</f>
        <v>View</v>
      </c>
    </row>
    <row r="1523" spans="1:21" ht="30.6">
      <c r="A1523" s="6">
        <v>43423.527881944443</v>
      </c>
      <c r="B1523" s="7" t="str">
        <f>HYPERLINK("https://twitter.com/iescolar","@iescolar")</f>
        <v>@iescolar</v>
      </c>
      <c r="C1523" s="8" t="s">
        <v>942</v>
      </c>
      <c r="D1523" s="9" t="s">
        <v>5452</v>
      </c>
      <c r="E1523" s="10" t="str">
        <f>HYPERLINK("https://twitter.com/iescolar/status/1064619357093969923","1064619357093969923")</f>
        <v>1064619357093969923</v>
      </c>
      <c r="F1523" s="11" t="s">
        <v>5453</v>
      </c>
      <c r="G1523" s="12"/>
      <c r="H1523" s="12"/>
      <c r="I1523" s="13">
        <v>25</v>
      </c>
      <c r="J1523" s="13">
        <v>16</v>
      </c>
      <c r="K1523" s="14" t="str">
        <f>HYPERLINK("http://twitter.com","Twitter Web Client")</f>
        <v>Twitter Web Client</v>
      </c>
      <c r="L1523" s="13">
        <v>903276</v>
      </c>
      <c r="M1523" s="13">
        <v>5425</v>
      </c>
      <c r="N1523" s="13">
        <v>11976</v>
      </c>
      <c r="O1523" s="19" t="s">
        <v>74</v>
      </c>
      <c r="P1523" s="6">
        <v>39556.500960648147</v>
      </c>
      <c r="Q1523" s="17" t="s">
        <v>944</v>
      </c>
      <c r="R1523" s="16" t="s">
        <v>945</v>
      </c>
      <c r="S1523" s="11" t="s">
        <v>693</v>
      </c>
      <c r="T1523" s="12"/>
      <c r="U1523" s="10" t="str">
        <f>HYPERLINK("https://pbs.twimg.com/profile_images/970684993231097856/30L3bCoG.jpg","View")</f>
        <v>View</v>
      </c>
    </row>
    <row r="1524" spans="1:21" ht="30.6">
      <c r="A1524" s="6">
        <v>43423.527650462958</v>
      </c>
      <c r="B1524" s="7" t="str">
        <f>HYPERLINK("https://twitter.com/ZotanoAlberto","@ZotanoAlberto")</f>
        <v>@ZotanoAlberto</v>
      </c>
      <c r="C1524" s="8" t="s">
        <v>5454</v>
      </c>
      <c r="D1524" s="9" t="s">
        <v>5455</v>
      </c>
      <c r="E1524" s="10" t="str">
        <f>HYPERLINK("https://twitter.com/ZotanoAlberto/status/1064619276592693248","1064619276592693248")</f>
        <v>1064619276592693248</v>
      </c>
      <c r="F1524" s="12"/>
      <c r="G1524" s="12"/>
      <c r="H1524" s="12"/>
      <c r="I1524" s="13">
        <v>0</v>
      </c>
      <c r="J1524" s="13">
        <v>0</v>
      </c>
      <c r="K1524" s="14" t="str">
        <f>HYPERLINK("http://twitter.com/download/iphone","Twitter for iPhone")</f>
        <v>Twitter for iPhone</v>
      </c>
      <c r="L1524" s="13">
        <v>1444</v>
      </c>
      <c r="M1524" s="13">
        <v>774</v>
      </c>
      <c r="N1524" s="13">
        <v>10</v>
      </c>
      <c r="O1524" s="15"/>
      <c r="P1524" s="6">
        <v>40341.317824074074</v>
      </c>
      <c r="Q1524" s="17" t="s">
        <v>506</v>
      </c>
      <c r="R1524" s="16" t="s">
        <v>5456</v>
      </c>
      <c r="S1524" s="12"/>
      <c r="T1524" s="12"/>
      <c r="U1524" s="10" t="str">
        <f>HYPERLINK("https://pbs.twimg.com/profile_images/1014994424726683648/lTazY13w.jpg","View")</f>
        <v>View</v>
      </c>
    </row>
    <row r="1525" spans="1:21" ht="30.6">
      <c r="A1525" s="6">
        <v>43423.527326388888</v>
      </c>
      <c r="B1525" s="7" t="str">
        <f>HYPERLINK("https://twitter.com/robertohyh","@robertohyh")</f>
        <v>@robertohyh</v>
      </c>
      <c r="C1525" s="8" t="s">
        <v>5457</v>
      </c>
      <c r="D1525" s="9" t="s">
        <v>5458</v>
      </c>
      <c r="E1525" s="10" t="str">
        <f>HYPERLINK("https://twitter.com/robertohyh/status/1064619159584235520","1064619159584235520")</f>
        <v>1064619159584235520</v>
      </c>
      <c r="F1525" s="12"/>
      <c r="G1525" s="12"/>
      <c r="H1525" s="12"/>
      <c r="I1525" s="13">
        <v>1</v>
      </c>
      <c r="J1525" s="13">
        <v>1</v>
      </c>
      <c r="K1525" s="14" t="str">
        <f>HYPERLINK("http://twitter.com/download/android","Twitter for Android")</f>
        <v>Twitter for Android</v>
      </c>
      <c r="L1525" s="13">
        <v>492</v>
      </c>
      <c r="M1525" s="13">
        <v>319</v>
      </c>
      <c r="N1525" s="13">
        <v>11</v>
      </c>
      <c r="O1525" s="15"/>
      <c r="P1525" s="6">
        <v>41620.487268518518</v>
      </c>
      <c r="Q1525" s="17" t="s">
        <v>3203</v>
      </c>
      <c r="R1525" s="16" t="s">
        <v>5459</v>
      </c>
      <c r="S1525" s="12"/>
      <c r="T1525" s="12"/>
      <c r="U1525" s="10" t="str">
        <f>HYPERLINK("https://pbs.twimg.com/profile_images/1021757328008327168/UM1AmlNZ.jpg","View")</f>
        <v>View</v>
      </c>
    </row>
    <row r="1526" spans="1:21" ht="40.799999999999997">
      <c r="A1526" s="6">
        <v>43423.525879629626</v>
      </c>
      <c r="B1526" s="7" t="str">
        <f>HYPERLINK("https://twitter.com/MayaYasenova","@MayaYasenova")</f>
        <v>@MayaYasenova</v>
      </c>
      <c r="C1526" s="8" t="s">
        <v>5460</v>
      </c>
      <c r="D1526" s="9" t="s">
        <v>5461</v>
      </c>
      <c r="E1526" s="10" t="str">
        <f>HYPERLINK("https://twitter.com/MayaYasenova/status/1064618634981646336","1064618634981646336")</f>
        <v>1064618634981646336</v>
      </c>
      <c r="F1526" s="11" t="s">
        <v>5462</v>
      </c>
      <c r="G1526" s="12"/>
      <c r="H1526" s="12"/>
      <c r="I1526" s="13">
        <v>0</v>
      </c>
      <c r="J1526" s="13">
        <v>0</v>
      </c>
      <c r="K1526" s="14" t="str">
        <f>HYPERLINK("http://twitter.com/download/iphone","Twitter for iPhone")</f>
        <v>Twitter for iPhone</v>
      </c>
      <c r="L1526" s="13">
        <v>161</v>
      </c>
      <c r="M1526" s="13">
        <v>998</v>
      </c>
      <c r="N1526" s="13">
        <v>0</v>
      </c>
      <c r="O1526" s="15"/>
      <c r="P1526" s="6">
        <v>40786.127199074072</v>
      </c>
      <c r="Q1526" s="17" t="s">
        <v>62</v>
      </c>
      <c r="R1526" s="16" t="s">
        <v>5463</v>
      </c>
      <c r="S1526" s="12"/>
      <c r="T1526" s="12"/>
      <c r="U1526" s="10" t="str">
        <f>HYPERLINK("https://pbs.twimg.com/profile_images/962753257327267840/qolB3Dbu.jpg","View")</f>
        <v>View</v>
      </c>
    </row>
    <row r="1527" spans="1:21" ht="30.6">
      <c r="A1527" s="6">
        <v>43423.525277777779</v>
      </c>
      <c r="B1527" s="7" t="str">
        <f>HYPERLINK("https://twitter.com/marianofake","@marianofake")</f>
        <v>@marianofake</v>
      </c>
      <c r="C1527" s="8" t="s">
        <v>544</v>
      </c>
      <c r="D1527" s="9" t="s">
        <v>5464</v>
      </c>
      <c r="E1527" s="10" t="str">
        <f>HYPERLINK("https://twitter.com/marianofake/status/1064618413547552769","1064618413547552769")</f>
        <v>1064618413547552769</v>
      </c>
      <c r="F1527" s="12"/>
      <c r="G1527" s="12"/>
      <c r="H1527" s="12"/>
      <c r="I1527" s="13">
        <v>12</v>
      </c>
      <c r="J1527" s="13">
        <v>6</v>
      </c>
      <c r="K1527" s="14" t="str">
        <f>HYPERLINK("https://mobile.twitter.com","Twitter Lite")</f>
        <v>Twitter Lite</v>
      </c>
      <c r="L1527" s="13">
        <v>6041</v>
      </c>
      <c r="M1527" s="13">
        <v>3162</v>
      </c>
      <c r="N1527" s="13">
        <v>19</v>
      </c>
      <c r="O1527" s="15"/>
      <c r="P1527" s="6">
        <v>42101.300752314812</v>
      </c>
      <c r="Q1527" s="12"/>
      <c r="R1527" s="16" t="s">
        <v>547</v>
      </c>
      <c r="S1527" s="12"/>
      <c r="T1527" s="12"/>
      <c r="U1527" s="10" t="str">
        <f>HYPERLINK("https://pbs.twimg.com/profile_images/865123852795367424/p4pK2M21.jpg","View")</f>
        <v>View</v>
      </c>
    </row>
    <row r="1528" spans="1:21" ht="61.2">
      <c r="A1528" s="6">
        <v>43423.521967592591</v>
      </c>
      <c r="B1528" s="7" t="str">
        <f>HYPERLINK("https://twitter.com/juberi85","@juberi85")</f>
        <v>@juberi85</v>
      </c>
      <c r="C1528" s="8" t="s">
        <v>5465</v>
      </c>
      <c r="D1528" s="9" t="s">
        <v>5466</v>
      </c>
      <c r="E1528" s="10" t="str">
        <f>HYPERLINK("https://twitter.com/juberi85/status/1064617217118126087","1064617217118126087")</f>
        <v>1064617217118126087</v>
      </c>
      <c r="F1528" s="12"/>
      <c r="G1528" s="12"/>
      <c r="H1528" s="12"/>
      <c r="I1528" s="13">
        <v>1</v>
      </c>
      <c r="J1528" s="13">
        <v>1</v>
      </c>
      <c r="K1528" s="14" t="str">
        <f>HYPERLINK("http://twitter.com","Twitter Web Client")</f>
        <v>Twitter Web Client</v>
      </c>
      <c r="L1528" s="13">
        <v>361</v>
      </c>
      <c r="M1528" s="13">
        <v>1136</v>
      </c>
      <c r="N1528" s="13">
        <v>0</v>
      </c>
      <c r="O1528" s="15"/>
      <c r="P1528" s="6">
        <v>42889.386412037042</v>
      </c>
      <c r="Q1528" s="17" t="s">
        <v>62</v>
      </c>
      <c r="R1528" s="16" t="s">
        <v>5467</v>
      </c>
      <c r="S1528" s="12"/>
      <c r="T1528" s="12"/>
      <c r="U1528" s="10" t="str">
        <f>HYPERLINK("https://pbs.twimg.com/profile_images/1062358819240599553/TTAZufBX.jpg","View")</f>
        <v>View</v>
      </c>
    </row>
    <row r="1529" spans="1:21" ht="20.399999999999999">
      <c r="A1529" s="6">
        <v>43423.521689814814</v>
      </c>
      <c r="B1529" s="7" t="str">
        <f>HYPERLINK("https://twitter.com/moonblast27","@moonblast27")</f>
        <v>@moonblast27</v>
      </c>
      <c r="C1529" s="8" t="s">
        <v>5468</v>
      </c>
      <c r="D1529" s="9" t="s">
        <v>5469</v>
      </c>
      <c r="E1529" s="10" t="str">
        <f>HYPERLINK("https://twitter.com/moonblast27/status/1064617116308029440","1064617116308029440")</f>
        <v>1064617116308029440</v>
      </c>
      <c r="F1529" s="12"/>
      <c r="G1529" s="11" t="s">
        <v>5470</v>
      </c>
      <c r="H1529" s="12"/>
      <c r="I1529" s="13">
        <v>0</v>
      </c>
      <c r="J1529" s="13">
        <v>0</v>
      </c>
      <c r="K1529" s="14" t="str">
        <f>HYPERLINK("http://twitter.com/download/android","Twitter for Android")</f>
        <v>Twitter for Android</v>
      </c>
      <c r="L1529" s="13">
        <v>413</v>
      </c>
      <c r="M1529" s="13">
        <v>559</v>
      </c>
      <c r="N1529" s="13">
        <v>14</v>
      </c>
      <c r="O1529" s="15"/>
      <c r="P1529" s="6">
        <v>42458.115381944444</v>
      </c>
      <c r="Q1529" s="17" t="s">
        <v>3546</v>
      </c>
      <c r="R1529" s="16" t="s">
        <v>5471</v>
      </c>
      <c r="S1529" s="11" t="s">
        <v>5472</v>
      </c>
      <c r="T1529" s="12"/>
      <c r="U1529" s="10" t="str">
        <f>HYPERLINK("https://pbs.twimg.com/profile_images/1064107704338325504/edx4nKF5.jpg","View")</f>
        <v>View</v>
      </c>
    </row>
    <row r="1530" spans="1:21" ht="20.399999999999999">
      <c r="A1530" s="6">
        <v>43423.520486111112</v>
      </c>
      <c r="B1530" s="7" t="str">
        <f>HYPERLINK("https://twitter.com/IngeniaPro","@IngeniaPro")</f>
        <v>@IngeniaPro</v>
      </c>
      <c r="C1530" s="8" t="s">
        <v>5473</v>
      </c>
      <c r="D1530" s="9" t="s">
        <v>5474</v>
      </c>
      <c r="E1530" s="10" t="str">
        <f>HYPERLINK("https://twitter.com/IngeniaPro/status/1064616679982989312","1064616679982989312")</f>
        <v>1064616679982989312</v>
      </c>
      <c r="F1530" s="11" t="s">
        <v>5475</v>
      </c>
      <c r="G1530" s="12"/>
      <c r="H1530" s="12"/>
      <c r="I1530" s="13">
        <v>0</v>
      </c>
      <c r="J1530" s="13">
        <v>0</v>
      </c>
      <c r="K1530" s="14" t="str">
        <f>HYPERLINK("https://www.google.com/","Google")</f>
        <v>Google</v>
      </c>
      <c r="L1530" s="13">
        <v>746</v>
      </c>
      <c r="M1530" s="13">
        <v>520</v>
      </c>
      <c r="N1530" s="13">
        <v>9</v>
      </c>
      <c r="O1530" s="15"/>
      <c r="P1530" s="6">
        <v>40589.370844907404</v>
      </c>
      <c r="Q1530" s="17" t="s">
        <v>268</v>
      </c>
      <c r="R1530" s="16" t="s">
        <v>5476</v>
      </c>
      <c r="S1530" s="11" t="s">
        <v>5477</v>
      </c>
      <c r="T1530" s="12"/>
      <c r="U1530" s="10" t="str">
        <f>HYPERLINK("https://pbs.twimg.com/profile_images/1009383088617676800/BmHqKRPL.jpg","View")</f>
        <v>View</v>
      </c>
    </row>
    <row r="1531" spans="1:21" ht="51">
      <c r="A1531" s="6">
        <v>43423.519629629634</v>
      </c>
      <c r="B1531" s="7" t="str">
        <f>HYPERLINK("https://twitter.com/FranciscoTije2","@FranciscoTije2")</f>
        <v>@FranciscoTije2</v>
      </c>
      <c r="C1531" s="8" t="s">
        <v>2477</v>
      </c>
      <c r="D1531" s="9" t="s">
        <v>5478</v>
      </c>
      <c r="E1531" s="10" t="str">
        <f>HYPERLINK("https://twitter.com/FranciscoTije2/status/1064616367259824128","1064616367259824128")</f>
        <v>1064616367259824128</v>
      </c>
      <c r="F1531" s="11" t="s">
        <v>5479</v>
      </c>
      <c r="G1531" s="12"/>
      <c r="H1531" s="12"/>
      <c r="I1531" s="13">
        <v>1</v>
      </c>
      <c r="J1531" s="13">
        <v>5</v>
      </c>
      <c r="K1531" s="14" t="str">
        <f>HYPERLINK("http://twitter.com/download/android","Twitter for Android")</f>
        <v>Twitter for Android</v>
      </c>
      <c r="L1531" s="13">
        <v>2384</v>
      </c>
      <c r="M1531" s="13">
        <v>2018</v>
      </c>
      <c r="N1531" s="13">
        <v>47</v>
      </c>
      <c r="O1531" s="15"/>
      <c r="P1531" s="6">
        <v>41225.526539351849</v>
      </c>
      <c r="Q1531" s="17" t="s">
        <v>2479</v>
      </c>
      <c r="R1531" s="16" t="s">
        <v>2480</v>
      </c>
      <c r="S1531" s="12"/>
      <c r="T1531" s="12"/>
      <c r="U1531" s="10" t="str">
        <f>HYPERLINK("https://pbs.twimg.com/profile_images/1049054866222600192/v2JEx-7O.jpg","View")</f>
        <v>View</v>
      </c>
    </row>
    <row r="1532" spans="1:21" ht="51">
      <c r="A1532" s="6">
        <v>43423.515717592592</v>
      </c>
      <c r="B1532" s="7" t="str">
        <f>HYPERLINK("https://twitter.com/hcgarcia","@hcgarcia")</f>
        <v>@hcgarcia</v>
      </c>
      <c r="C1532" s="8" t="s">
        <v>5480</v>
      </c>
      <c r="D1532" s="9" t="s">
        <v>5481</v>
      </c>
      <c r="E1532" s="10" t="str">
        <f>HYPERLINK("https://twitter.com/hcgarcia/status/1064614951686418440","1064614951686418440")</f>
        <v>1064614951686418440</v>
      </c>
      <c r="F1532" s="11" t="s">
        <v>5482</v>
      </c>
      <c r="G1532" s="11" t="s">
        <v>5483</v>
      </c>
      <c r="H1532" s="12"/>
      <c r="I1532" s="13">
        <v>1</v>
      </c>
      <c r="J1532" s="13">
        <v>0</v>
      </c>
      <c r="K1532" s="14" t="str">
        <f>HYPERLINK("http://twitter.com/download/iphone","Twitter for iPhone")</f>
        <v>Twitter for iPhone</v>
      </c>
      <c r="L1532" s="13">
        <v>1397</v>
      </c>
      <c r="M1532" s="13">
        <v>1560</v>
      </c>
      <c r="N1532" s="13">
        <v>14</v>
      </c>
      <c r="O1532" s="15"/>
      <c r="P1532" s="6">
        <v>41598.194178240738</v>
      </c>
      <c r="Q1532" s="12"/>
      <c r="R1532" s="16" t="s">
        <v>5484</v>
      </c>
      <c r="S1532" s="12"/>
      <c r="T1532" s="12"/>
      <c r="U1532" s="10" t="str">
        <f>HYPERLINK("https://pbs.twimg.com/profile_images/1038730611844898817/kf3fANj3.jpg","View")</f>
        <v>View</v>
      </c>
    </row>
    <row r="1533" spans="1:21" ht="20.399999999999999">
      <c r="A1533" s="6">
        <v>43423.515162037038</v>
      </c>
      <c r="B1533" s="7" t="str">
        <f>HYPERLINK("https://twitter.com/PabloTilo","@PabloTilo")</f>
        <v>@PabloTilo</v>
      </c>
      <c r="C1533" s="8" t="s">
        <v>5485</v>
      </c>
      <c r="D1533" s="9" t="s">
        <v>5486</v>
      </c>
      <c r="E1533" s="10" t="str">
        <f>HYPERLINK("https://twitter.com/PabloTilo/status/1064614749885870081","1064614749885870081")</f>
        <v>1064614749885870081</v>
      </c>
      <c r="F1533" s="12"/>
      <c r="G1533" s="12"/>
      <c r="H1533" s="12"/>
      <c r="I1533" s="13">
        <v>0</v>
      </c>
      <c r="J1533" s="13">
        <v>1</v>
      </c>
      <c r="K1533" s="14" t="str">
        <f>HYPERLINK("http://twitter.com/download/android","Twitter for Android")</f>
        <v>Twitter for Android</v>
      </c>
      <c r="L1533" s="13">
        <v>9692</v>
      </c>
      <c r="M1533" s="13">
        <v>371</v>
      </c>
      <c r="N1533" s="13">
        <v>129</v>
      </c>
      <c r="O1533" s="15"/>
      <c r="P1533" s="6">
        <v>41371.493923611109</v>
      </c>
      <c r="Q1533" s="12"/>
      <c r="R1533" s="16" t="s">
        <v>5487</v>
      </c>
      <c r="S1533" s="11" t="s">
        <v>5488</v>
      </c>
      <c r="T1533" s="12"/>
      <c r="U1533" s="10" t="str">
        <f>HYPERLINK("https://pbs.twimg.com/profile_images/1026554068154691584/aZzD0zzA.jpg","View")</f>
        <v>View</v>
      </c>
    </row>
    <row r="1534" spans="1:21" ht="30.6">
      <c r="A1534" s="6">
        <v>43423.512314814812</v>
      </c>
      <c r="B1534" s="7" t="str">
        <f>HYPERLINK("https://twitter.com/Josemanuelsanz","@Josemanuelsanz")</f>
        <v>@Josemanuelsanz</v>
      </c>
      <c r="C1534" s="8" t="s">
        <v>5489</v>
      </c>
      <c r="D1534" s="9" t="s">
        <v>5490</v>
      </c>
      <c r="E1534" s="10" t="str">
        <f>HYPERLINK("https://twitter.com/Josemanuelsanz/status/1064613716971401216","1064613716971401216")</f>
        <v>1064613716971401216</v>
      </c>
      <c r="F1534" s="12"/>
      <c r="G1534" s="12"/>
      <c r="H1534" s="12"/>
      <c r="I1534" s="13">
        <v>1</v>
      </c>
      <c r="J1534" s="13">
        <v>3</v>
      </c>
      <c r="K1534" s="14" t="str">
        <f>HYPERLINK("http://twitter.com/download/iphone","Twitter for iPhone")</f>
        <v>Twitter for iPhone</v>
      </c>
      <c r="L1534" s="13">
        <v>3607</v>
      </c>
      <c r="M1534" s="13">
        <v>2838</v>
      </c>
      <c r="N1534" s="13">
        <v>74</v>
      </c>
      <c r="O1534" s="15"/>
      <c r="P1534" s="6">
        <v>40513.63927083333</v>
      </c>
      <c r="Q1534" s="17" t="s">
        <v>5491</v>
      </c>
      <c r="R1534" s="16" t="s">
        <v>5492</v>
      </c>
      <c r="S1534" s="11" t="s">
        <v>5493</v>
      </c>
      <c r="T1534" s="12"/>
      <c r="U1534" s="10" t="str">
        <f>HYPERLINK("https://pbs.twimg.com/profile_images/761491765379620864/tsb01yDO.jpg","View")</f>
        <v>View</v>
      </c>
    </row>
    <row r="1535" spans="1:21" ht="20.399999999999999">
      <c r="A1535" s="6">
        <v>43423.512129629627</v>
      </c>
      <c r="B1535" s="7" t="str">
        <f>HYPERLINK("https://twitter.com/villaykorte","@villaykorte")</f>
        <v>@villaykorte</v>
      </c>
      <c r="C1535" s="8" t="s">
        <v>5408</v>
      </c>
      <c r="D1535" s="9" t="s">
        <v>5494</v>
      </c>
      <c r="E1535" s="10" t="str">
        <f>HYPERLINK("https://twitter.com/villaykorte/status/1064613651196375045","1064613651196375045")</f>
        <v>1064613651196375045</v>
      </c>
      <c r="F1535" s="12"/>
      <c r="G1535" s="11" t="s">
        <v>5495</v>
      </c>
      <c r="H1535" s="12"/>
      <c r="I1535" s="13">
        <v>0</v>
      </c>
      <c r="J1535" s="13">
        <v>0</v>
      </c>
      <c r="K1535" s="14" t="str">
        <f>HYPERLINK("http://twitter.com","Twitter Web Client")</f>
        <v>Twitter Web Client</v>
      </c>
      <c r="L1535" s="13">
        <v>180</v>
      </c>
      <c r="M1535" s="13">
        <v>141</v>
      </c>
      <c r="N1535" s="13">
        <v>10</v>
      </c>
      <c r="O1535" s="15"/>
      <c r="P1535" s="6">
        <v>39392.68540509259</v>
      </c>
      <c r="Q1535" s="17" t="s">
        <v>76</v>
      </c>
      <c r="R1535" s="16" t="s">
        <v>5410</v>
      </c>
      <c r="S1535" s="12"/>
      <c r="T1535" s="12"/>
      <c r="U1535" s="10" t="str">
        <f>HYPERLINK("https://pbs.twimg.com/profile_images/1061690566889693185/_eqeqQlu.jpg","View")</f>
        <v>View</v>
      </c>
    </row>
    <row r="1536" spans="1:21" ht="20.399999999999999">
      <c r="A1536" s="6">
        <v>43423.512106481481</v>
      </c>
      <c r="B1536" s="7" t="str">
        <f>HYPERLINK("https://twitter.com/pasanospoco","@pasanospoco")</f>
        <v>@pasanospoco</v>
      </c>
      <c r="C1536" s="8" t="s">
        <v>3754</v>
      </c>
      <c r="D1536" s="9" t="s">
        <v>5496</v>
      </c>
      <c r="E1536" s="10" t="str">
        <f>HYPERLINK("https://twitter.com/pasanospoco/status/1064613644082847744","1064613644082847744")</f>
        <v>1064613644082847744</v>
      </c>
      <c r="F1536" s="12"/>
      <c r="G1536" s="12"/>
      <c r="H1536" s="12"/>
      <c r="I1536" s="13">
        <v>0</v>
      </c>
      <c r="J1536" s="13">
        <v>0</v>
      </c>
      <c r="K1536" s="14" t="str">
        <f>HYPERLINK("http://twitter.com/download/android","Twitter for Android")</f>
        <v>Twitter for Android</v>
      </c>
      <c r="L1536" s="13">
        <v>839</v>
      </c>
      <c r="M1536" s="13">
        <v>245</v>
      </c>
      <c r="N1536" s="13">
        <v>18</v>
      </c>
      <c r="O1536" s="15"/>
      <c r="P1536" s="6">
        <v>42247.383414351847</v>
      </c>
      <c r="Q1536" s="12"/>
      <c r="R1536" s="16" t="s">
        <v>3756</v>
      </c>
      <c r="S1536" s="12"/>
      <c r="T1536" s="12"/>
      <c r="U1536" s="10" t="str">
        <f>HYPERLINK("https://pbs.twimg.com/profile_images/1036944079282753536/Bklk7Lpn.jpg","View")</f>
        <v>View</v>
      </c>
    </row>
    <row r="1537" spans="1:21" ht="51">
      <c r="A1537" s="6">
        <v>43423.51180555555</v>
      </c>
      <c r="B1537" s="7" t="str">
        <f>HYPERLINK("https://twitter.com/hispaniaeflavia","@hispaniaeflavia")</f>
        <v>@hispaniaeflavia</v>
      </c>
      <c r="C1537" s="8" t="s">
        <v>5497</v>
      </c>
      <c r="D1537" s="9" t="s">
        <v>5498</v>
      </c>
      <c r="E1537" s="10" t="str">
        <f>HYPERLINK("https://twitter.com/hispaniaeflavia/status/1064613531457343488","1064613531457343488")</f>
        <v>1064613531457343488</v>
      </c>
      <c r="F1537" s="11" t="s">
        <v>5499</v>
      </c>
      <c r="G1537" s="12"/>
      <c r="H1537" s="12"/>
      <c r="I1537" s="13">
        <v>0</v>
      </c>
      <c r="J1537" s="13">
        <v>0</v>
      </c>
      <c r="K1537" s="14" t="str">
        <f t="shared" ref="K1537:K1538" si="276">HYPERLINK("http://twitter.com","Twitter Web Client")</f>
        <v>Twitter Web Client</v>
      </c>
      <c r="L1537" s="13">
        <v>51</v>
      </c>
      <c r="M1537" s="13">
        <v>172</v>
      </c>
      <c r="N1537" s="13">
        <v>0</v>
      </c>
      <c r="O1537" s="15"/>
      <c r="P1537" s="6">
        <v>40542.646365740744</v>
      </c>
      <c r="Q1537" s="12"/>
      <c r="R1537" s="30" t="s">
        <v>5500</v>
      </c>
      <c r="S1537" s="11" t="s">
        <v>5501</v>
      </c>
      <c r="T1537" s="12"/>
      <c r="U1537" s="10" t="str">
        <f>HYPERLINK("https://pbs.twimg.com/profile_images/1010545651267067905/LHCCm4PE.jpg","View")</f>
        <v>View</v>
      </c>
    </row>
    <row r="1538" spans="1:21" ht="40.799999999999997">
      <c r="A1538" s="6">
        <v>43423.504490740743</v>
      </c>
      <c r="B1538" s="7" t="str">
        <f>HYPERLINK("https://twitter.com/AvellanasJose","@AvellanasJose")</f>
        <v>@AvellanasJose</v>
      </c>
      <c r="C1538" s="8" t="s">
        <v>5502</v>
      </c>
      <c r="D1538" s="9" t="s">
        <v>5503</v>
      </c>
      <c r="E1538" s="10" t="str">
        <f>HYPERLINK("https://twitter.com/AvellanasJose/status/1064610882875985923","1064610882875985923")</f>
        <v>1064610882875985923</v>
      </c>
      <c r="F1538" s="11" t="s">
        <v>5087</v>
      </c>
      <c r="G1538" s="12"/>
      <c r="H1538" s="12"/>
      <c r="I1538" s="13">
        <v>0</v>
      </c>
      <c r="J1538" s="13">
        <v>0</v>
      </c>
      <c r="K1538" s="14" t="str">
        <f t="shared" si="276"/>
        <v>Twitter Web Client</v>
      </c>
      <c r="L1538" s="13">
        <v>4369</v>
      </c>
      <c r="M1538" s="13">
        <v>4281</v>
      </c>
      <c r="N1538" s="13">
        <v>24</v>
      </c>
      <c r="O1538" s="15"/>
      <c r="P1538" s="6">
        <v>42123.464629629627</v>
      </c>
      <c r="Q1538" s="12"/>
      <c r="R1538" s="16" t="s">
        <v>5504</v>
      </c>
      <c r="S1538" s="12"/>
      <c r="T1538" s="12"/>
      <c r="U1538" s="10" t="str">
        <f>HYPERLINK("https://pbs.twimg.com/profile_images/985630212405780480/a5Krm-Tl.jpg","View")</f>
        <v>View</v>
      </c>
    </row>
    <row r="1539" spans="1:21" ht="20.399999999999999">
      <c r="A1539" s="6">
        <v>43423.503055555557</v>
      </c>
      <c r="B1539" s="7" t="str">
        <f>HYPERLINK("https://twitter.com/Oiponorc","@Oiponorc")</f>
        <v>@Oiponorc</v>
      </c>
      <c r="C1539" s="8" t="s">
        <v>5505</v>
      </c>
      <c r="D1539" s="9" t="s">
        <v>5506</v>
      </c>
      <c r="E1539" s="10" t="str">
        <f>HYPERLINK("https://twitter.com/Oiponorc/status/1064610361607929857","1064610361607929857")</f>
        <v>1064610361607929857</v>
      </c>
      <c r="F1539" s="12"/>
      <c r="G1539" s="12"/>
      <c r="H1539" s="12"/>
      <c r="I1539" s="13">
        <v>0</v>
      </c>
      <c r="J1539" s="13">
        <v>0</v>
      </c>
      <c r="K1539" s="14" t="str">
        <f t="shared" ref="K1539:K1541" si="277">HYPERLINK("http://twitter.com/download/android","Twitter for Android")</f>
        <v>Twitter for Android</v>
      </c>
      <c r="L1539" s="13">
        <v>616</v>
      </c>
      <c r="M1539" s="13">
        <v>169</v>
      </c>
      <c r="N1539" s="13">
        <v>13</v>
      </c>
      <c r="O1539" s="15"/>
      <c r="P1539" s="6">
        <v>41336.477222222224</v>
      </c>
      <c r="Q1539" s="17" t="s">
        <v>5507</v>
      </c>
      <c r="R1539" s="18"/>
      <c r="S1539" s="12"/>
      <c r="T1539" s="12"/>
      <c r="U1539" s="10" t="str">
        <f>HYPERLINK("https://pbs.twimg.com/profile_images/1062992655133691904/XtHbHJBj.jpg","View")</f>
        <v>View</v>
      </c>
    </row>
    <row r="1540" spans="1:21" ht="20.399999999999999">
      <c r="A1540" s="6">
        <v>43423.501539351855</v>
      </c>
      <c r="B1540" s="7" t="str">
        <f>HYPERLINK("https://twitter.com/marcosleyley","@marcosleyley")</f>
        <v>@marcosleyley</v>
      </c>
      <c r="C1540" s="8" t="s">
        <v>5508</v>
      </c>
      <c r="D1540" s="9" t="s">
        <v>5509</v>
      </c>
      <c r="E1540" s="10" t="str">
        <f>HYPERLINK("https://twitter.com/marcosleyley/status/1064609811176873984","1064609811176873984")</f>
        <v>1064609811176873984</v>
      </c>
      <c r="F1540" s="12"/>
      <c r="G1540" s="12"/>
      <c r="H1540" s="12"/>
      <c r="I1540" s="13">
        <v>3</v>
      </c>
      <c r="J1540" s="13">
        <v>8</v>
      </c>
      <c r="K1540" s="14" t="str">
        <f t="shared" si="277"/>
        <v>Twitter for Android</v>
      </c>
      <c r="L1540" s="13">
        <v>22170</v>
      </c>
      <c r="M1540" s="13">
        <v>21709</v>
      </c>
      <c r="N1540" s="13">
        <v>392</v>
      </c>
      <c r="O1540" s="15"/>
      <c r="P1540" s="6">
        <v>40505.257766203707</v>
      </c>
      <c r="Q1540" s="17" t="s">
        <v>187</v>
      </c>
      <c r="R1540" s="16" t="s">
        <v>5510</v>
      </c>
      <c r="S1540" s="11" t="s">
        <v>5511</v>
      </c>
      <c r="T1540" s="12"/>
      <c r="U1540" s="10" t="str">
        <f>HYPERLINK("https://pbs.twimg.com/profile_images/1064210550144606213/Z5DU5gsE.jpg","View")</f>
        <v>View</v>
      </c>
    </row>
    <row r="1541" spans="1:21" ht="30.6">
      <c r="A1541" s="6">
        <v>43423.49962962963</v>
      </c>
      <c r="B1541" s="7" t="str">
        <f>HYPERLINK("https://twitter.com/_SOMOSEducacion","@_SOMOSEducacion")</f>
        <v>@_SOMOSEducacion</v>
      </c>
      <c r="C1541" s="8" t="s">
        <v>5512</v>
      </c>
      <c r="D1541" s="9" t="s">
        <v>4800</v>
      </c>
      <c r="E1541" s="10" t="str">
        <f>HYPERLINK("https://twitter.com/_SOMOSEducacion/status/1064609120198803456","1064609120198803456")</f>
        <v>1064609120198803456</v>
      </c>
      <c r="F1541" s="11" t="s">
        <v>320</v>
      </c>
      <c r="G1541" s="12"/>
      <c r="H1541" s="12"/>
      <c r="I1541" s="13">
        <v>1</v>
      </c>
      <c r="J1541" s="13">
        <v>0</v>
      </c>
      <c r="K1541" s="14" t="str">
        <f t="shared" si="277"/>
        <v>Twitter for Android</v>
      </c>
      <c r="L1541" s="13">
        <v>234</v>
      </c>
      <c r="M1541" s="13">
        <v>240</v>
      </c>
      <c r="N1541" s="13">
        <v>3</v>
      </c>
      <c r="O1541" s="15"/>
      <c r="P1541" s="6">
        <v>42903.388032407413</v>
      </c>
      <c r="Q1541" s="12"/>
      <c r="R1541" s="16" t="s">
        <v>5513</v>
      </c>
      <c r="S1541" s="11" t="s">
        <v>5514</v>
      </c>
      <c r="T1541" s="12"/>
      <c r="U1541" s="10" t="str">
        <f>HYPERLINK("https://pbs.twimg.com/profile_images/940351625197219840/2zM4T2bi.jpg","View")</f>
        <v>View</v>
      </c>
    </row>
    <row r="1542" spans="1:21" ht="40.799999999999997">
      <c r="A1542" s="6">
        <v>43423.498541666668</v>
      </c>
      <c r="B1542" s="7" t="str">
        <f>HYPERLINK("https://twitter.com/DanielGut_Mejia","@DanielGut_Mejia")</f>
        <v>@DanielGut_Mejia</v>
      </c>
      <c r="C1542" s="8" t="s">
        <v>5515</v>
      </c>
      <c r="D1542" s="9" t="s">
        <v>5516</v>
      </c>
      <c r="E1542" s="10" t="str">
        <f>HYPERLINK("https://twitter.com/DanielGut_Mejia/status/1064608726563340289","1064608726563340289")</f>
        <v>1064608726563340289</v>
      </c>
      <c r="F1542" s="11" t="s">
        <v>5517</v>
      </c>
      <c r="G1542" s="12"/>
      <c r="H1542" s="12"/>
      <c r="I1542" s="13">
        <v>0</v>
      </c>
      <c r="J1542" s="13">
        <v>0</v>
      </c>
      <c r="K1542" s="14" t="str">
        <f>HYPERLINK("http://twitter.com","Twitter Web Client")</f>
        <v>Twitter Web Client</v>
      </c>
      <c r="L1542" s="13">
        <v>621</v>
      </c>
      <c r="M1542" s="13">
        <v>983</v>
      </c>
      <c r="N1542" s="13">
        <v>8</v>
      </c>
      <c r="O1542" s="15"/>
      <c r="P1542" s="6">
        <v>40301.943240740744</v>
      </c>
      <c r="Q1542" s="17" t="s">
        <v>5518</v>
      </c>
      <c r="R1542" s="16" t="s">
        <v>5519</v>
      </c>
      <c r="S1542" s="11" t="s">
        <v>5520</v>
      </c>
      <c r="T1542" s="12"/>
      <c r="U1542" s="10" t="str">
        <f>HYPERLINK("https://pbs.twimg.com/profile_images/921887692429955074/heCu2E2o.jpg","View")</f>
        <v>View</v>
      </c>
    </row>
    <row r="1543" spans="1:21" ht="30.6">
      <c r="A1543" s="6">
        <v>43423.498217592598</v>
      </c>
      <c r="B1543" s="7" t="str">
        <f>HYPERLINK("https://twitter.com/edumenorca","@edumenorca")</f>
        <v>@edumenorca</v>
      </c>
      <c r="C1543" s="8" t="s">
        <v>5521</v>
      </c>
      <c r="D1543" s="9" t="s">
        <v>5522</v>
      </c>
      <c r="E1543" s="10" t="str">
        <f>HYPERLINK("https://twitter.com/edumenorca/status/1064608609714270210","1064608609714270210")</f>
        <v>1064608609714270210</v>
      </c>
      <c r="F1543" s="11" t="s">
        <v>5523</v>
      </c>
      <c r="G1543" s="12"/>
      <c r="H1543" s="12"/>
      <c r="I1543" s="13">
        <v>0</v>
      </c>
      <c r="J1543" s="13">
        <v>0</v>
      </c>
      <c r="K1543" s="14" t="str">
        <f>HYPERLINK("http://www.facebook.com/twitter","Facebook")</f>
        <v>Facebook</v>
      </c>
      <c r="L1543" s="13">
        <v>147</v>
      </c>
      <c r="M1543" s="13">
        <v>218</v>
      </c>
      <c r="N1543" s="13">
        <v>1</v>
      </c>
      <c r="O1543" s="15"/>
      <c r="P1543" s="6">
        <v>40524.040023148147</v>
      </c>
      <c r="Q1543" s="17" t="s">
        <v>29</v>
      </c>
      <c r="R1543" s="16" t="s">
        <v>5524</v>
      </c>
      <c r="S1543" s="11" t="s">
        <v>5525</v>
      </c>
      <c r="T1543" s="12"/>
      <c r="U1543" s="10" t="str">
        <f>HYPERLINK("https://pbs.twimg.com/profile_images/853668818392162305/jXx-hUSy.jpg","View")</f>
        <v>View</v>
      </c>
    </row>
    <row r="1544" spans="1:21" ht="71.400000000000006">
      <c r="A1544" s="6">
        <v>43423.49627314815</v>
      </c>
      <c r="B1544" s="7" t="str">
        <f>HYPERLINK("https://twitter.com/diegrotesco","@diegrotesco")</f>
        <v>@diegrotesco</v>
      </c>
      <c r="C1544" s="8" t="s">
        <v>5526</v>
      </c>
      <c r="D1544" s="9" t="s">
        <v>5527</v>
      </c>
      <c r="E1544" s="10" t="str">
        <f>HYPERLINK("https://twitter.com/diegrotesco/status/1064607902760095748","1064607902760095748")</f>
        <v>1064607902760095748</v>
      </c>
      <c r="F1544" s="11" t="s">
        <v>4356</v>
      </c>
      <c r="G1544" s="11" t="s">
        <v>4357</v>
      </c>
      <c r="H1544" s="12"/>
      <c r="I1544" s="13">
        <v>0</v>
      </c>
      <c r="J1544" s="13">
        <v>1</v>
      </c>
      <c r="K1544" s="14" t="str">
        <f>HYPERLINK("http://twitter.com/download/android","Twitter for Android")</f>
        <v>Twitter for Android</v>
      </c>
      <c r="L1544" s="13">
        <v>1291</v>
      </c>
      <c r="M1544" s="13">
        <v>553</v>
      </c>
      <c r="N1544" s="13">
        <v>38</v>
      </c>
      <c r="O1544" s="15"/>
      <c r="P1544" s="6">
        <v>40658.460069444445</v>
      </c>
      <c r="Q1544" s="12"/>
      <c r="R1544" s="16" t="s">
        <v>5528</v>
      </c>
      <c r="S1544" s="11" t="s">
        <v>5529</v>
      </c>
      <c r="T1544" s="12"/>
      <c r="U1544" s="10" t="str">
        <f>HYPERLINK("https://pbs.twimg.com/profile_images/378800000858281041/77XxB3cN.jpeg","View")</f>
        <v>View</v>
      </c>
    </row>
    <row r="1545" spans="1:21" ht="20.399999999999999">
      <c r="A1545" s="6">
        <v>43423.494641203702</v>
      </c>
      <c r="B1545" s="7" t="str">
        <f>HYPERLINK("https://twitter.com/JuanBcn56","@JuanBcn56")</f>
        <v>@JuanBcn56</v>
      </c>
      <c r="C1545" s="8" t="s">
        <v>736</v>
      </c>
      <c r="D1545" s="9" t="s">
        <v>5530</v>
      </c>
      <c r="E1545" s="10" t="str">
        <f>HYPERLINK("https://twitter.com/JuanBcn56/status/1064607313670082560","1064607313670082560")</f>
        <v>1064607313670082560</v>
      </c>
      <c r="F1545" s="11" t="s">
        <v>5531</v>
      </c>
      <c r="G1545" s="12"/>
      <c r="H1545" s="12"/>
      <c r="I1545" s="13">
        <v>0</v>
      </c>
      <c r="J1545" s="13">
        <v>0</v>
      </c>
      <c r="K1545" s="14" t="str">
        <f>HYPERLINK("http://www.facebook.com/twitter","Facebook")</f>
        <v>Facebook</v>
      </c>
      <c r="L1545" s="13">
        <v>493</v>
      </c>
      <c r="M1545" s="13">
        <v>556</v>
      </c>
      <c r="N1545" s="13">
        <v>17</v>
      </c>
      <c r="O1545" s="15"/>
      <c r="P1545" s="6">
        <v>40482.712384259255</v>
      </c>
      <c r="Q1545" s="17" t="s">
        <v>340</v>
      </c>
      <c r="R1545" s="18"/>
      <c r="S1545" s="11" t="s">
        <v>738</v>
      </c>
      <c r="T1545" s="12"/>
      <c r="U1545" s="10" t="str">
        <f>HYPERLINK("https://pbs.twimg.com/profile_images/979283519712133125/LsgTl4W7.jpg","View")</f>
        <v>View</v>
      </c>
    </row>
    <row r="1546" spans="1:21" ht="30.6">
      <c r="A1546" s="6">
        <v>43423.489375000005</v>
      </c>
      <c r="B1546" s="7" t="str">
        <f>HYPERLINK("https://twitter.com/elperiodico","@elperiodico")</f>
        <v>@elperiodico</v>
      </c>
      <c r="C1546" s="8" t="s">
        <v>2057</v>
      </c>
      <c r="D1546" s="9" t="s">
        <v>5532</v>
      </c>
      <c r="E1546" s="10" t="str">
        <f>HYPERLINK("https://twitter.com/elperiodico/status/1064605404511043585","1064605404511043585")</f>
        <v>1064605404511043585</v>
      </c>
      <c r="F1546" s="11" t="s">
        <v>5533</v>
      </c>
      <c r="G1546" s="12"/>
      <c r="H1546" s="12"/>
      <c r="I1546" s="13">
        <v>8</v>
      </c>
      <c r="J1546" s="13">
        <v>7</v>
      </c>
      <c r="K1546" s="14" t="str">
        <f>HYPERLINK("http://dogtrack.es","DogTrack_Oficial")</f>
        <v>DogTrack_Oficial</v>
      </c>
      <c r="L1546" s="13">
        <v>596514</v>
      </c>
      <c r="M1546" s="13">
        <v>18498</v>
      </c>
      <c r="N1546" s="13">
        <v>6920</v>
      </c>
      <c r="O1546" s="19" t="s">
        <v>74</v>
      </c>
      <c r="P1546" s="6">
        <v>40456.164560185185</v>
      </c>
      <c r="Q1546" s="17" t="s">
        <v>187</v>
      </c>
      <c r="R1546" s="16" t="s">
        <v>2060</v>
      </c>
      <c r="S1546" s="11" t="s">
        <v>566</v>
      </c>
      <c r="T1546" s="12"/>
      <c r="U1546" s="10" t="str">
        <f>HYPERLINK("https://pbs.twimg.com/profile_images/876802324135653377/s4G6oS9o.jpg","View")</f>
        <v>View</v>
      </c>
    </row>
    <row r="1547" spans="1:21" ht="40.799999999999997">
      <c r="A1547" s="6">
        <v>43423.486747685187</v>
      </c>
      <c r="B1547" s="7" t="str">
        <f>HYPERLINK("https://twitter.com/AbasoloJavier","@AbasoloJavier")</f>
        <v>@AbasoloJavier</v>
      </c>
      <c r="C1547" s="8" t="s">
        <v>5534</v>
      </c>
      <c r="D1547" s="9" t="s">
        <v>4817</v>
      </c>
      <c r="E1547" s="10" t="str">
        <f>HYPERLINK("https://twitter.com/AbasoloJavier/status/1064604453570035713","1064604453570035713")</f>
        <v>1064604453570035713</v>
      </c>
      <c r="F1547" s="11" t="s">
        <v>5523</v>
      </c>
      <c r="G1547" s="12"/>
      <c r="H1547" s="12"/>
      <c r="I1547" s="13">
        <v>0</v>
      </c>
      <c r="J1547" s="13">
        <v>0</v>
      </c>
      <c r="K1547" s="14" t="str">
        <f>HYPERLINK("http://www.facebook.com/twitter","Facebook")</f>
        <v>Facebook</v>
      </c>
      <c r="L1547" s="13">
        <v>859</v>
      </c>
      <c r="M1547" s="13">
        <v>1019</v>
      </c>
      <c r="N1547" s="13">
        <v>36</v>
      </c>
      <c r="O1547" s="15"/>
      <c r="P1547" s="6">
        <v>40917.062407407408</v>
      </c>
      <c r="Q1547" s="17" t="s">
        <v>5535</v>
      </c>
      <c r="R1547" s="16" t="s">
        <v>5536</v>
      </c>
      <c r="S1547" s="11" t="s">
        <v>5537</v>
      </c>
      <c r="T1547" s="12"/>
      <c r="U1547" s="10" t="str">
        <f>HYPERLINK("https://pbs.twimg.com/profile_images/758321409148018692/qOfJix8t.jpg","View")</f>
        <v>View</v>
      </c>
    </row>
    <row r="1548" spans="1:21" ht="30.6">
      <c r="A1548" s="6">
        <v>43423.480960648143</v>
      </c>
      <c r="B1548" s="7" t="str">
        <f>HYPERLINK("https://twitter.com/Al_Iks","@Al_Iks")</f>
        <v>@Al_Iks</v>
      </c>
      <c r="C1548" s="8" t="s">
        <v>5538</v>
      </c>
      <c r="D1548" s="9" t="s">
        <v>5539</v>
      </c>
      <c r="E1548" s="10" t="str">
        <f>HYPERLINK("https://twitter.com/Al_Iks/status/1064602353389711365","1064602353389711365")</f>
        <v>1064602353389711365</v>
      </c>
      <c r="F1548" s="11" t="s">
        <v>5540</v>
      </c>
      <c r="G1548" s="12"/>
      <c r="H1548" s="12"/>
      <c r="I1548" s="13">
        <v>0</v>
      </c>
      <c r="J1548" s="13">
        <v>0</v>
      </c>
      <c r="K1548" s="14" t="str">
        <f t="shared" ref="K1548:K1549" si="278">HYPERLINK("http://twitter.com","Twitter Web Client")</f>
        <v>Twitter Web Client</v>
      </c>
      <c r="L1548" s="13">
        <v>1210</v>
      </c>
      <c r="M1548" s="13">
        <v>1641</v>
      </c>
      <c r="N1548" s="13">
        <v>36</v>
      </c>
      <c r="O1548" s="15"/>
      <c r="P1548" s="6">
        <v>40222.072175925925</v>
      </c>
      <c r="Q1548" s="17" t="s">
        <v>203</v>
      </c>
      <c r="R1548" s="16" t="s">
        <v>5541</v>
      </c>
      <c r="S1548" s="11" t="s">
        <v>5542</v>
      </c>
      <c r="T1548" s="12"/>
      <c r="U1548" s="10" t="str">
        <f>HYPERLINK("https://pbs.twimg.com/profile_images/1051124640934969345/SvvTh7vw.jpg","View")</f>
        <v>View</v>
      </c>
    </row>
    <row r="1549" spans="1:21" ht="71.400000000000006">
      <c r="A1549" s="6">
        <v>43423.480405092589</v>
      </c>
      <c r="B1549" s="7" t="str">
        <f>HYPERLINK("https://twitter.com/mirrocafort","@mirrocafort")</f>
        <v>@mirrocafort</v>
      </c>
      <c r="C1549" s="8" t="s">
        <v>5543</v>
      </c>
      <c r="D1549" s="9" t="s">
        <v>5544</v>
      </c>
      <c r="E1549" s="10" t="str">
        <f>HYPERLINK("https://twitter.com/mirrocafort/status/1064602155909357568","1064602155909357568")</f>
        <v>1064602155909357568</v>
      </c>
      <c r="F1549" s="11" t="s">
        <v>5545</v>
      </c>
      <c r="G1549" s="12"/>
      <c r="H1549" s="12"/>
      <c r="I1549" s="13">
        <v>2</v>
      </c>
      <c r="J1549" s="13">
        <v>1</v>
      </c>
      <c r="K1549" s="14" t="str">
        <f t="shared" si="278"/>
        <v>Twitter Web Client</v>
      </c>
      <c r="L1549" s="13">
        <v>5449</v>
      </c>
      <c r="M1549" s="13">
        <v>5102</v>
      </c>
      <c r="N1549" s="13">
        <v>106</v>
      </c>
      <c r="O1549" s="15"/>
      <c r="P1549" s="6">
        <v>40256.511111111111</v>
      </c>
      <c r="Q1549" s="17" t="s">
        <v>5546</v>
      </c>
      <c r="R1549" s="16" t="s">
        <v>5547</v>
      </c>
      <c r="S1549" s="12"/>
      <c r="T1549" s="12"/>
      <c r="U1549" s="10" t="str">
        <f>HYPERLINK("https://pbs.twimg.com/profile_images/945947807218831360/-Et8tzgE.jpg","View")</f>
        <v>View</v>
      </c>
    </row>
    <row r="1550" spans="1:21" ht="30.6">
      <c r="A1550" s="6">
        <v>43423.47960648148</v>
      </c>
      <c r="B1550" s="7" t="str">
        <f>HYPERLINK("https://twitter.com/PPIslaCristina","@PPIslaCristina")</f>
        <v>@PPIslaCristina</v>
      </c>
      <c r="C1550" s="8" t="s">
        <v>5548</v>
      </c>
      <c r="D1550" s="9" t="s">
        <v>5549</v>
      </c>
      <c r="E1550" s="10" t="str">
        <f>HYPERLINK("https://twitter.com/PPIslaCristina/status/1064601864442908672","1064601864442908672")</f>
        <v>1064601864442908672</v>
      </c>
      <c r="F1550" s="11" t="s">
        <v>5550</v>
      </c>
      <c r="G1550" s="12"/>
      <c r="H1550" s="12"/>
      <c r="I1550" s="13">
        <v>0</v>
      </c>
      <c r="J1550" s="13">
        <v>0</v>
      </c>
      <c r="K1550" s="14" t="str">
        <f>HYPERLINK("http://twitter.com/download/iphone","Twitter for iPhone")</f>
        <v>Twitter for iPhone</v>
      </c>
      <c r="L1550" s="13">
        <v>1138</v>
      </c>
      <c r="M1550" s="13">
        <v>1665</v>
      </c>
      <c r="N1550" s="13">
        <v>16</v>
      </c>
      <c r="O1550" s="15"/>
      <c r="P1550" s="6">
        <v>40625.445428240739</v>
      </c>
      <c r="Q1550" s="17" t="s">
        <v>5551</v>
      </c>
      <c r="R1550" s="16" t="s">
        <v>5552</v>
      </c>
      <c r="S1550" s="11" t="s">
        <v>5553</v>
      </c>
      <c r="T1550" s="12"/>
      <c r="U1550" s="10" t="str">
        <f>HYPERLINK("https://pbs.twimg.com/profile_images/903594217179684865/FH-iyfqB.jpg","View")</f>
        <v>View</v>
      </c>
    </row>
    <row r="1551" spans="1:21" ht="20.399999999999999">
      <c r="A1551" s="6">
        <v>43423.477037037039</v>
      </c>
      <c r="B1551" s="7" t="str">
        <f>HYPERLINK("https://twitter.com/DsDLaGuancha","@DsDLaGuancha")</f>
        <v>@DsDLaGuancha</v>
      </c>
      <c r="C1551" s="8" t="s">
        <v>5554</v>
      </c>
      <c r="D1551" s="9" t="s">
        <v>5555</v>
      </c>
      <c r="E1551" s="10" t="str">
        <f>HYPERLINK("https://twitter.com/DsDLaGuancha/status/1064600932871274496","1064600932871274496")</f>
        <v>1064600932871274496</v>
      </c>
      <c r="F1551" s="12"/>
      <c r="G1551" s="12"/>
      <c r="H1551" s="12"/>
      <c r="I1551" s="13">
        <v>1</v>
      </c>
      <c r="J1551" s="13">
        <v>0</v>
      </c>
      <c r="K1551" s="14" t="str">
        <f t="shared" ref="K1551:K1552" si="279">HYPERLINK("http://twitter.com/download/android","Twitter for Android")</f>
        <v>Twitter for Android</v>
      </c>
      <c r="L1551" s="13">
        <v>1322</v>
      </c>
      <c r="M1551" s="13">
        <v>2450</v>
      </c>
      <c r="N1551" s="13">
        <v>46</v>
      </c>
      <c r="O1551" s="15"/>
      <c r="P1551" s="6">
        <v>40305.632314814815</v>
      </c>
      <c r="Q1551" s="17" t="s">
        <v>5556</v>
      </c>
      <c r="R1551" s="16" t="s">
        <v>5557</v>
      </c>
      <c r="S1551" s="11" t="s">
        <v>5558</v>
      </c>
      <c r="T1551" s="12"/>
      <c r="U1551" s="10" t="str">
        <f>HYPERLINK("https://pbs.twimg.com/profile_images/881903772217290753/6-YfATEn.jpg","View")</f>
        <v>View</v>
      </c>
    </row>
    <row r="1552" spans="1:21" ht="30.6">
      <c r="A1552" s="6">
        <v>43423.477013888885</v>
      </c>
      <c r="B1552" s="7" t="str">
        <f>HYPERLINK("https://twitter.com/fisicadisidente","@fisicadisidente")</f>
        <v>@fisicadisidente</v>
      </c>
      <c r="C1552" s="8" t="s">
        <v>5559</v>
      </c>
      <c r="D1552" s="9" t="s">
        <v>4800</v>
      </c>
      <c r="E1552" s="10" t="str">
        <f>HYPERLINK("https://twitter.com/fisicadisidente/status/1064600923618623489","1064600923618623489")</f>
        <v>1064600923618623489</v>
      </c>
      <c r="F1552" s="11" t="s">
        <v>320</v>
      </c>
      <c r="G1552" s="12"/>
      <c r="H1552" s="12"/>
      <c r="I1552" s="13">
        <v>1</v>
      </c>
      <c r="J1552" s="13">
        <v>0</v>
      </c>
      <c r="K1552" s="14" t="str">
        <f t="shared" si="279"/>
        <v>Twitter for Android</v>
      </c>
      <c r="L1552" s="13">
        <v>968</v>
      </c>
      <c r="M1552" s="13">
        <v>837</v>
      </c>
      <c r="N1552" s="13">
        <v>34</v>
      </c>
      <c r="O1552" s="15"/>
      <c r="P1552" s="6">
        <v>41972.319293981476</v>
      </c>
      <c r="Q1552" s="17" t="s">
        <v>5560</v>
      </c>
      <c r="R1552" s="16" t="s">
        <v>5561</v>
      </c>
      <c r="S1552" s="11" t="s">
        <v>5562</v>
      </c>
      <c r="T1552" s="12"/>
      <c r="U1552" s="10" t="str">
        <f>HYPERLINK("https://pbs.twimg.com/profile_images/701355058340958208/pA27skCH.jpg","View")</f>
        <v>View</v>
      </c>
    </row>
    <row r="1553" spans="1:21" ht="40.799999999999997">
      <c r="A1553" s="6">
        <v>43423.476145833338</v>
      </c>
      <c r="B1553" s="7" t="str">
        <f>HYPERLINK("https://twitter.com/PeriklesFC","@PeriklesFC")</f>
        <v>@PeriklesFC</v>
      </c>
      <c r="C1553" s="8" t="s">
        <v>5563</v>
      </c>
      <c r="D1553" s="9" t="s">
        <v>5564</v>
      </c>
      <c r="E1553" s="10" t="str">
        <f>HYPERLINK("https://twitter.com/PeriklesFC/status/1064600609138065408","1064600609138065408")</f>
        <v>1064600609138065408</v>
      </c>
      <c r="F1553" s="11" t="s">
        <v>5087</v>
      </c>
      <c r="G1553" s="12"/>
      <c r="H1553" s="12"/>
      <c r="I1553" s="13">
        <v>1</v>
      </c>
      <c r="J1553" s="13">
        <v>1</v>
      </c>
      <c r="K1553" s="14" t="str">
        <f>HYPERLINK("http://twitter.com","Twitter Web Client")</f>
        <v>Twitter Web Client</v>
      </c>
      <c r="L1553" s="13">
        <v>213</v>
      </c>
      <c r="M1553" s="13">
        <v>923</v>
      </c>
      <c r="N1553" s="13">
        <v>7</v>
      </c>
      <c r="O1553" s="15"/>
      <c r="P1553" s="6">
        <v>42797.476238425923</v>
      </c>
      <c r="Q1553" s="12"/>
      <c r="R1553" s="16" t="s">
        <v>5565</v>
      </c>
      <c r="S1553" s="11" t="s">
        <v>5566</v>
      </c>
      <c r="T1553" s="12"/>
      <c r="U1553" s="10" t="str">
        <f>HYPERLINK("https://pbs.twimg.com/profile_images/837750530860539904/PBA5yYJ0.jpg","View")</f>
        <v>View</v>
      </c>
    </row>
    <row r="1554" spans="1:21" ht="51">
      <c r="A1554" s="6">
        <v>43423.475671296299</v>
      </c>
      <c r="B1554" s="7" t="str">
        <f>HYPERLINK("https://twitter.com/Samurob11","@Samurob11")</f>
        <v>@Samurob11</v>
      </c>
      <c r="C1554" s="8" t="s">
        <v>5567</v>
      </c>
      <c r="D1554" s="9" t="s">
        <v>5568</v>
      </c>
      <c r="E1554" s="10" t="str">
        <f>HYPERLINK("https://twitter.com/Samurob11/status/1064600436471148545","1064600436471148545")</f>
        <v>1064600436471148545</v>
      </c>
      <c r="F1554" s="12"/>
      <c r="G1554" s="12"/>
      <c r="H1554" s="12"/>
      <c r="I1554" s="13">
        <v>0</v>
      </c>
      <c r="J1554" s="13">
        <v>1</v>
      </c>
      <c r="K1554" s="14" t="str">
        <f t="shared" ref="K1554:K1555" si="280">HYPERLINK("http://twitter.com/download/android","Twitter for Android")</f>
        <v>Twitter for Android</v>
      </c>
      <c r="L1554" s="13">
        <v>15</v>
      </c>
      <c r="M1554" s="13">
        <v>116</v>
      </c>
      <c r="N1554" s="13">
        <v>0</v>
      </c>
      <c r="O1554" s="15"/>
      <c r="P1554" s="6">
        <v>43007.461076388892</v>
      </c>
      <c r="Q1554" s="12"/>
      <c r="R1554" s="18"/>
      <c r="S1554" s="12"/>
      <c r="T1554" s="12"/>
      <c r="U1554" s="19" t="s">
        <v>368</v>
      </c>
    </row>
    <row r="1555" spans="1:21" ht="30.6">
      <c r="A1555" s="6">
        <v>43423.47247685185</v>
      </c>
      <c r="B1555" s="7" t="str">
        <f>HYPERLINK("https://twitter.com/Rixartvs","@Rixartvs")</f>
        <v>@Rixartvs</v>
      </c>
      <c r="C1555" s="8" t="s">
        <v>5569</v>
      </c>
      <c r="D1555" s="9" t="s">
        <v>5570</v>
      </c>
      <c r="E1555" s="10" t="str">
        <f>HYPERLINK("https://twitter.com/Rixartvs/status/1064599279388557314","1064599279388557314")</f>
        <v>1064599279388557314</v>
      </c>
      <c r="F1555" s="12"/>
      <c r="G1555" s="12"/>
      <c r="H1555" s="12"/>
      <c r="I1555" s="13">
        <v>1</v>
      </c>
      <c r="J1555" s="13">
        <v>0</v>
      </c>
      <c r="K1555" s="14" t="str">
        <f t="shared" si="280"/>
        <v>Twitter for Android</v>
      </c>
      <c r="L1555" s="13">
        <v>2883</v>
      </c>
      <c r="M1555" s="13">
        <v>2823</v>
      </c>
      <c r="N1555" s="13">
        <v>25</v>
      </c>
      <c r="O1555" s="15"/>
      <c r="P1555" s="6">
        <v>41015.466956018521</v>
      </c>
      <c r="Q1555" s="17" t="s">
        <v>5571</v>
      </c>
      <c r="R1555" s="18"/>
      <c r="S1555" s="12"/>
      <c r="T1555" s="12"/>
      <c r="U1555" s="10" t="str">
        <f>HYPERLINK("https://pbs.twimg.com/profile_images/1034386981109858305/hTr3K8Uq.jpg","View")</f>
        <v>View</v>
      </c>
    </row>
    <row r="1556" spans="1:21" ht="20.399999999999999">
      <c r="A1556" s="6">
        <v>43423.47152777778</v>
      </c>
      <c r="B1556" s="7" t="str">
        <f>HYPERLINK("https://twitter.com/amgmrz","@amgmrz")</f>
        <v>@amgmrz</v>
      </c>
      <c r="C1556" s="8" t="s">
        <v>5572</v>
      </c>
      <c r="D1556" s="9" t="s">
        <v>5573</v>
      </c>
      <c r="E1556" s="10" t="str">
        <f>HYPERLINK("https://twitter.com/amgmrz/status/1064598935329824775","1064598935329824775")</f>
        <v>1064598935329824775</v>
      </c>
      <c r="F1556" s="11" t="s">
        <v>5574</v>
      </c>
      <c r="G1556" s="12"/>
      <c r="H1556" s="12"/>
      <c r="I1556" s="13">
        <v>0</v>
      </c>
      <c r="J1556" s="13">
        <v>0</v>
      </c>
      <c r="K1556" s="14" t="str">
        <f>HYPERLINK("http://instagram.com","Instagram")</f>
        <v>Instagram</v>
      </c>
      <c r="L1556" s="13">
        <v>5040</v>
      </c>
      <c r="M1556" s="13">
        <v>5052</v>
      </c>
      <c r="N1556" s="13">
        <v>85</v>
      </c>
      <c r="O1556" s="15"/>
      <c r="P1556" s="6">
        <v>40301.640428240738</v>
      </c>
      <c r="Q1556" s="17" t="s">
        <v>5575</v>
      </c>
      <c r="R1556" s="16" t="s">
        <v>5576</v>
      </c>
      <c r="S1556" s="12"/>
      <c r="T1556" s="12"/>
      <c r="U1556" s="10" t="str">
        <f>HYPERLINK("https://pbs.twimg.com/profile_images/1003077794820222976/aZ2ptAfE.jpg","View")</f>
        <v>View</v>
      </c>
    </row>
    <row r="1557" spans="1:21" ht="30.6">
      <c r="A1557" s="6">
        <v>43423.469687500001</v>
      </c>
      <c r="B1557" s="7" t="str">
        <f t="shared" ref="B1557:B1558" si="281">HYPERLINK("https://twitter.com/carolgalais","@carolgalais")</f>
        <v>@carolgalais</v>
      </c>
      <c r="C1557" s="8" t="s">
        <v>5577</v>
      </c>
      <c r="D1557" s="9" t="s">
        <v>5578</v>
      </c>
      <c r="E1557" s="10" t="str">
        <f>HYPERLINK("https://twitter.com/carolgalais/status/1064598268066316289","1064598268066316289")</f>
        <v>1064598268066316289</v>
      </c>
      <c r="F1557" s="11" t="s">
        <v>5579</v>
      </c>
      <c r="G1557" s="12"/>
      <c r="H1557" s="12"/>
      <c r="I1557" s="13">
        <v>0</v>
      </c>
      <c r="J1557" s="13">
        <v>3</v>
      </c>
      <c r="K1557" s="14" t="str">
        <f t="shared" ref="K1557:K1558" si="282">HYPERLINK("http://twitter.com/download/android","Twitter for Android")</f>
        <v>Twitter for Android</v>
      </c>
      <c r="L1557" s="13">
        <v>1810</v>
      </c>
      <c r="M1557" s="13">
        <v>1841</v>
      </c>
      <c r="N1557" s="13">
        <v>49</v>
      </c>
      <c r="O1557" s="15"/>
      <c r="P1557" s="6">
        <v>41196.393553240741</v>
      </c>
      <c r="Q1557" s="17" t="s">
        <v>187</v>
      </c>
      <c r="R1557" s="16" t="s">
        <v>5580</v>
      </c>
      <c r="S1557" s="11" t="s">
        <v>5581</v>
      </c>
      <c r="T1557" s="12"/>
      <c r="U1557" s="10" t="str">
        <f t="shared" ref="U1557:U1558" si="283">HYPERLINK("https://pbs.twimg.com/profile_images/2717600295/19c872bce6d87591545030c77dc15361.jpeg","View")</f>
        <v>View</v>
      </c>
    </row>
    <row r="1558" spans="1:21" ht="30.6">
      <c r="A1558" s="6">
        <v>43423.469236111108</v>
      </c>
      <c r="B1558" s="7" t="str">
        <f t="shared" si="281"/>
        <v>@carolgalais</v>
      </c>
      <c r="C1558" s="8" t="s">
        <v>5577</v>
      </c>
      <c r="D1558" s="9" t="s">
        <v>5582</v>
      </c>
      <c r="E1558" s="10" t="str">
        <f>HYPERLINK("https://twitter.com/carolgalais/status/1064598105553813504","1064598105553813504")</f>
        <v>1064598105553813504</v>
      </c>
      <c r="F1558" s="12"/>
      <c r="G1558" s="12"/>
      <c r="H1558" s="12"/>
      <c r="I1558" s="13">
        <v>0</v>
      </c>
      <c r="J1558" s="13">
        <v>2</v>
      </c>
      <c r="K1558" s="14" t="str">
        <f t="shared" si="282"/>
        <v>Twitter for Android</v>
      </c>
      <c r="L1558" s="13">
        <v>1810</v>
      </c>
      <c r="M1558" s="13">
        <v>1841</v>
      </c>
      <c r="N1558" s="13">
        <v>49</v>
      </c>
      <c r="O1558" s="15"/>
      <c r="P1558" s="6">
        <v>41196.393553240741</v>
      </c>
      <c r="Q1558" s="17" t="s">
        <v>187</v>
      </c>
      <c r="R1558" s="16" t="s">
        <v>5580</v>
      </c>
      <c r="S1558" s="11" t="s">
        <v>5581</v>
      </c>
      <c r="T1558" s="12"/>
      <c r="U1558" s="10" t="str">
        <f t="shared" si="283"/>
        <v>View</v>
      </c>
    </row>
    <row r="1559" spans="1:21" ht="40.799999999999997">
      <c r="A1559" s="6">
        <v>43423.468495370369</v>
      </c>
      <c r="B1559" s="7" t="str">
        <f>HYPERLINK("https://twitter.com/PopularesLucena","@PopularesLucena")</f>
        <v>@PopularesLucena</v>
      </c>
      <c r="C1559" s="8" t="s">
        <v>5583</v>
      </c>
      <c r="D1559" s="9" t="s">
        <v>5584</v>
      </c>
      <c r="E1559" s="10" t="str">
        <f>HYPERLINK("https://twitter.com/PopularesLucena/status/1064597836988391424","1064597836988391424")</f>
        <v>1064597836988391424</v>
      </c>
      <c r="F1559" s="12"/>
      <c r="G1559" s="12"/>
      <c r="H1559" s="12"/>
      <c r="I1559" s="13">
        <v>0</v>
      </c>
      <c r="J1559" s="13">
        <v>0</v>
      </c>
      <c r="K1559" s="14" t="str">
        <f>HYPERLINK("http://www.facebook.com/twitter","Facebook")</f>
        <v>Facebook</v>
      </c>
      <c r="L1559" s="13">
        <v>1118</v>
      </c>
      <c r="M1559" s="13">
        <v>2997</v>
      </c>
      <c r="N1559" s="13">
        <v>8</v>
      </c>
      <c r="O1559" s="15"/>
      <c r="P1559" s="6">
        <v>41337.35</v>
      </c>
      <c r="Q1559" s="17" t="s">
        <v>5585</v>
      </c>
      <c r="R1559" s="16" t="s">
        <v>5586</v>
      </c>
      <c r="S1559" s="12"/>
      <c r="T1559" s="12"/>
      <c r="U1559" s="10" t="str">
        <f>HYPERLINK("https://pbs.twimg.com/profile_images/622465216991862785/CwapI7g4.jpg","View")</f>
        <v>View</v>
      </c>
    </row>
    <row r="1560" spans="1:21" ht="51">
      <c r="A1560" s="6">
        <v>43423.46739583333</v>
      </c>
      <c r="B1560" s="7" t="str">
        <f>HYPERLINK("https://twitter.com/ElGollumFumeta","@ElGollumFumeta")</f>
        <v>@ElGollumFumeta</v>
      </c>
      <c r="C1560" s="8" t="s">
        <v>5587</v>
      </c>
      <c r="D1560" s="9" t="s">
        <v>5588</v>
      </c>
      <c r="E1560" s="10" t="str">
        <f>HYPERLINK("https://twitter.com/ElGollumFumeta/status/1064597441134104577","1064597441134104577")</f>
        <v>1064597441134104577</v>
      </c>
      <c r="F1560" s="12"/>
      <c r="G1560" s="12"/>
      <c r="H1560" s="12"/>
      <c r="I1560" s="13">
        <v>1</v>
      </c>
      <c r="J1560" s="13">
        <v>0</v>
      </c>
      <c r="K1560" s="14" t="str">
        <f>HYPERLINK("http://twitter.com/download/android","Twitter for Android")</f>
        <v>Twitter for Android</v>
      </c>
      <c r="L1560" s="13">
        <v>711</v>
      </c>
      <c r="M1560" s="13">
        <v>513</v>
      </c>
      <c r="N1560" s="13">
        <v>14</v>
      </c>
      <c r="O1560" s="15"/>
      <c r="P1560" s="6">
        <v>41932.239259259259</v>
      </c>
      <c r="Q1560" s="17" t="s">
        <v>5589</v>
      </c>
      <c r="R1560" s="16" t="s">
        <v>5590</v>
      </c>
      <c r="S1560" s="12"/>
      <c r="T1560" s="12"/>
      <c r="U1560" s="10" t="str">
        <f>HYPERLINK("https://pbs.twimg.com/profile_images/935571951589916673/0aZT5Ck3.jpg","View")</f>
        <v>View</v>
      </c>
    </row>
    <row r="1561" spans="1:21" ht="40.799999999999997">
      <c r="A1561" s="6">
        <v>43423.46702546296</v>
      </c>
      <c r="B1561" s="7" t="str">
        <f>HYPERLINK("https://twitter.com/PopularesLucena","@PopularesLucena")</f>
        <v>@PopularesLucena</v>
      </c>
      <c r="C1561" s="8" t="s">
        <v>5583</v>
      </c>
      <c r="D1561" s="9" t="s">
        <v>5591</v>
      </c>
      <c r="E1561" s="10" t="str">
        <f>HYPERLINK("https://twitter.com/PopularesLucena/status/1064597306094362626","1064597306094362626")</f>
        <v>1064597306094362626</v>
      </c>
      <c r="F1561" s="12"/>
      <c r="G1561" s="12"/>
      <c r="H1561" s="12"/>
      <c r="I1561" s="13">
        <v>0</v>
      </c>
      <c r="J1561" s="13">
        <v>0</v>
      </c>
      <c r="K1561" s="14" t="str">
        <f>HYPERLINK("http://www.facebook.com/twitter","Facebook")</f>
        <v>Facebook</v>
      </c>
      <c r="L1561" s="13">
        <v>1118</v>
      </c>
      <c r="M1561" s="13">
        <v>2997</v>
      </c>
      <c r="N1561" s="13">
        <v>8</v>
      </c>
      <c r="O1561" s="15"/>
      <c r="P1561" s="6">
        <v>41337.35</v>
      </c>
      <c r="Q1561" s="17" t="s">
        <v>5585</v>
      </c>
      <c r="R1561" s="16" t="s">
        <v>5586</v>
      </c>
      <c r="S1561" s="12"/>
      <c r="T1561" s="12"/>
      <c r="U1561" s="10" t="str">
        <f>HYPERLINK("https://pbs.twimg.com/profile_images/622465216991862785/CwapI7g4.jpg","View")</f>
        <v>View</v>
      </c>
    </row>
    <row r="1562" spans="1:21" ht="30.6">
      <c r="A1562" s="6">
        <v>43423.465648148151</v>
      </c>
      <c r="B1562" s="7" t="str">
        <f>HYPERLINK("https://twitter.com/eppolitica_cas","@eppolitica_cas")</f>
        <v>@eppolitica_cas</v>
      </c>
      <c r="C1562" s="8" t="s">
        <v>5240</v>
      </c>
      <c r="D1562" s="9" t="s">
        <v>5592</v>
      </c>
      <c r="E1562" s="10" t="str">
        <f>HYPERLINK("https://twitter.com/eppolitica_cas/status/1064596804472320003","1064596804472320003")</f>
        <v>1064596804472320003</v>
      </c>
      <c r="F1562" s="11" t="s">
        <v>5593</v>
      </c>
      <c r="G1562" s="12"/>
      <c r="H1562" s="12"/>
      <c r="I1562" s="13">
        <v>1</v>
      </c>
      <c r="J1562" s="13">
        <v>0</v>
      </c>
      <c r="K1562" s="14" t="str">
        <f>HYPERLINK("http://dogtrack.es","DogTrack_Oficial")</f>
        <v>DogTrack_Oficial</v>
      </c>
      <c r="L1562" s="13">
        <v>2176</v>
      </c>
      <c r="M1562" s="13">
        <v>417</v>
      </c>
      <c r="N1562" s="13">
        <v>94</v>
      </c>
      <c r="O1562" s="15"/>
      <c r="P1562" s="6">
        <v>40865.345717592594</v>
      </c>
      <c r="Q1562" s="17" t="s">
        <v>187</v>
      </c>
      <c r="R1562" s="16" t="s">
        <v>5594</v>
      </c>
      <c r="S1562" s="11" t="s">
        <v>5595</v>
      </c>
      <c r="T1562" s="12"/>
      <c r="U1562" s="10" t="str">
        <f>HYPERLINK("https://pbs.twimg.com/profile_images/875759451344691201/7oHgCmMx.jpg","View")</f>
        <v>View</v>
      </c>
    </row>
    <row r="1563" spans="1:21" ht="20.399999999999999">
      <c r="A1563" s="6">
        <v>43423.464803240742</v>
      </c>
      <c r="B1563" s="7" t="str">
        <f>HYPERLINK("https://twitter.com/TamyCm96","@TamyCm96")</f>
        <v>@TamyCm96</v>
      </c>
      <c r="C1563" s="8" t="s">
        <v>5596</v>
      </c>
      <c r="D1563" s="9" t="s">
        <v>5597</v>
      </c>
      <c r="E1563" s="10" t="str">
        <f>HYPERLINK("https://twitter.com/TamyCm96/status/1064596499475177472","1064596499475177472")</f>
        <v>1064596499475177472</v>
      </c>
      <c r="F1563" s="12"/>
      <c r="G1563" s="12"/>
      <c r="H1563" s="12"/>
      <c r="I1563" s="13">
        <v>0</v>
      </c>
      <c r="J1563" s="13">
        <v>0</v>
      </c>
      <c r="K1563" s="14" t="str">
        <f>HYPERLINK("http://twitter.com/download/android","Twitter for Android")</f>
        <v>Twitter for Android</v>
      </c>
      <c r="L1563" s="13">
        <v>289</v>
      </c>
      <c r="M1563" s="13">
        <v>334</v>
      </c>
      <c r="N1563" s="13">
        <v>1</v>
      </c>
      <c r="O1563" s="15"/>
      <c r="P1563" s="6">
        <v>41377.412939814814</v>
      </c>
      <c r="Q1563" s="12"/>
      <c r="R1563" s="16" t="s">
        <v>5598</v>
      </c>
      <c r="S1563" s="12"/>
      <c r="T1563" s="12"/>
      <c r="U1563" s="10" t="str">
        <f>HYPERLINK("https://pbs.twimg.com/profile_images/1024270924089098240/7zhVoU-x.jpg","View")</f>
        <v>View</v>
      </c>
    </row>
    <row r="1564" spans="1:21" ht="40.799999999999997">
      <c r="A1564" s="6">
        <v>43423.464479166665</v>
      </c>
      <c r="B1564" s="7" t="str">
        <f t="shared" ref="B1564:B1565" si="284">HYPERLINK("https://twitter.com/PopularesLucena","@PopularesLucena")</f>
        <v>@PopularesLucena</v>
      </c>
      <c r="C1564" s="8" t="s">
        <v>5583</v>
      </c>
      <c r="D1564" s="9" t="s">
        <v>5599</v>
      </c>
      <c r="E1564" s="10" t="str">
        <f>HYPERLINK("https://twitter.com/PopularesLucena/status/1064596382927994880","1064596382927994880")</f>
        <v>1064596382927994880</v>
      </c>
      <c r="F1564" s="12"/>
      <c r="G1564" s="12"/>
      <c r="H1564" s="12"/>
      <c r="I1564" s="13">
        <v>0</v>
      </c>
      <c r="J1564" s="13">
        <v>1</v>
      </c>
      <c r="K1564" s="14" t="str">
        <f t="shared" ref="K1564:K1565" si="285">HYPERLINK("http://www.facebook.com/twitter","Facebook")</f>
        <v>Facebook</v>
      </c>
      <c r="L1564" s="13">
        <v>1118</v>
      </c>
      <c r="M1564" s="13">
        <v>2997</v>
      </c>
      <c r="N1564" s="13">
        <v>8</v>
      </c>
      <c r="O1564" s="15"/>
      <c r="P1564" s="6">
        <v>41337.35</v>
      </c>
      <c r="Q1564" s="17" t="s">
        <v>5585</v>
      </c>
      <c r="R1564" s="16" t="s">
        <v>5586</v>
      </c>
      <c r="S1564" s="12"/>
      <c r="T1564" s="12"/>
      <c r="U1564" s="10" t="str">
        <f t="shared" ref="U1564:U1565" si="286">HYPERLINK("https://pbs.twimg.com/profile_images/622465216991862785/CwapI7g4.jpg","View")</f>
        <v>View</v>
      </c>
    </row>
    <row r="1565" spans="1:21" ht="40.799999999999997">
      <c r="A1565" s="6">
        <v>43423.462442129632</v>
      </c>
      <c r="B1565" s="7" t="str">
        <f t="shared" si="284"/>
        <v>@PopularesLucena</v>
      </c>
      <c r="C1565" s="8" t="s">
        <v>5583</v>
      </c>
      <c r="D1565" s="9" t="s">
        <v>5600</v>
      </c>
      <c r="E1565" s="10" t="str">
        <f>HYPERLINK("https://twitter.com/PopularesLucena/status/1064595642629140480","1064595642629140480")</f>
        <v>1064595642629140480</v>
      </c>
      <c r="F1565" s="12"/>
      <c r="G1565" s="12"/>
      <c r="H1565" s="12"/>
      <c r="I1565" s="13">
        <v>0</v>
      </c>
      <c r="J1565" s="13">
        <v>0</v>
      </c>
      <c r="K1565" s="14" t="str">
        <f t="shared" si="285"/>
        <v>Facebook</v>
      </c>
      <c r="L1565" s="13">
        <v>1118</v>
      </c>
      <c r="M1565" s="13">
        <v>2997</v>
      </c>
      <c r="N1565" s="13">
        <v>8</v>
      </c>
      <c r="O1565" s="15"/>
      <c r="P1565" s="6">
        <v>41337.35</v>
      </c>
      <c r="Q1565" s="17" t="s">
        <v>5585</v>
      </c>
      <c r="R1565" s="16" t="s">
        <v>5586</v>
      </c>
      <c r="S1565" s="12"/>
      <c r="T1565" s="12"/>
      <c r="U1565" s="10" t="str">
        <f t="shared" si="286"/>
        <v>View</v>
      </c>
    </row>
    <row r="1566" spans="1:21" ht="20.399999999999999">
      <c r="A1566" s="6">
        <v>43423.45993055556</v>
      </c>
      <c r="B1566" s="7" t="str">
        <f>HYPERLINK("https://twitter.com/JordiSantonja","@JordiSantonja")</f>
        <v>@JordiSantonja</v>
      </c>
      <c r="C1566" s="8" t="s">
        <v>5601</v>
      </c>
      <c r="D1566" s="9" t="s">
        <v>5602</v>
      </c>
      <c r="E1566" s="10" t="str">
        <f>HYPERLINK("https://twitter.com/JordiSantonja/status/1064594736093249537","1064594736093249537")</f>
        <v>1064594736093249537</v>
      </c>
      <c r="F1566" s="12"/>
      <c r="G1566" s="12"/>
      <c r="H1566" s="12"/>
      <c r="I1566" s="13">
        <v>0</v>
      </c>
      <c r="J1566" s="13">
        <v>1</v>
      </c>
      <c r="K1566" s="14" t="str">
        <f t="shared" ref="K1566:K1567" si="287">HYPERLINK("http://twitter.com/download/android","Twitter for Android")</f>
        <v>Twitter for Android</v>
      </c>
      <c r="L1566" s="13">
        <v>414</v>
      </c>
      <c r="M1566" s="13">
        <v>1896</v>
      </c>
      <c r="N1566" s="13">
        <v>6</v>
      </c>
      <c r="O1566" s="15"/>
      <c r="P1566" s="6">
        <v>40587.451863425929</v>
      </c>
      <c r="Q1566" s="12"/>
      <c r="R1566" s="16" t="s">
        <v>5603</v>
      </c>
      <c r="S1566" s="12"/>
      <c r="T1566" s="12"/>
      <c r="U1566" s="10" t="str">
        <f>HYPERLINK("https://pbs.twimg.com/profile_images/622530288393056256/FoMrtXCa.jpg","View")</f>
        <v>View</v>
      </c>
    </row>
    <row r="1567" spans="1:21" ht="13.2">
      <c r="A1567" s="6">
        <v>43423.457500000004</v>
      </c>
      <c r="B1567" s="7" t="str">
        <f>HYPERLINK("https://twitter.com/ElPadreDeBrian","@ElPadreDeBrian")</f>
        <v>@ElPadreDeBrian</v>
      </c>
      <c r="C1567" s="8" t="s">
        <v>5604</v>
      </c>
      <c r="D1567" s="9" t="s">
        <v>5605</v>
      </c>
      <c r="E1567" s="10" t="str">
        <f>HYPERLINK("https://twitter.com/ElPadreDeBrian/status/1064593855436201984","1064593855436201984")</f>
        <v>1064593855436201984</v>
      </c>
      <c r="F1567" s="12"/>
      <c r="G1567" s="11" t="s">
        <v>5606</v>
      </c>
      <c r="H1567" s="12"/>
      <c r="I1567" s="13">
        <v>1</v>
      </c>
      <c r="J1567" s="13">
        <v>4</v>
      </c>
      <c r="K1567" s="14" t="str">
        <f t="shared" si="287"/>
        <v>Twitter for Android</v>
      </c>
      <c r="L1567" s="13">
        <v>2596</v>
      </c>
      <c r="M1567" s="13">
        <v>159</v>
      </c>
      <c r="N1567" s="13">
        <v>11</v>
      </c>
      <c r="O1567" s="15"/>
      <c r="P1567" s="6">
        <v>40683.049976851849</v>
      </c>
      <c r="Q1567" s="17" t="s">
        <v>5607</v>
      </c>
      <c r="R1567" s="16" t="s">
        <v>5608</v>
      </c>
      <c r="S1567" s="12"/>
      <c r="T1567" s="12"/>
      <c r="U1567" s="10" t="str">
        <f>HYPERLINK("https://pbs.twimg.com/profile_images/818226988930498563/P018WoWJ.jpg","View")</f>
        <v>View</v>
      </c>
    </row>
    <row r="1568" spans="1:21" ht="20.399999999999999">
      <c r="A1568" s="6">
        <v>43423.456967592589</v>
      </c>
      <c r="B1568" s="7" t="str">
        <f>HYPERLINK("https://twitter.com/alvaropastor","@alvaropastor")</f>
        <v>@alvaropastor</v>
      </c>
      <c r="C1568" s="8" t="s">
        <v>5609</v>
      </c>
      <c r="D1568" s="9" t="s">
        <v>5610</v>
      </c>
      <c r="E1568" s="10" t="str">
        <f>HYPERLINK("https://twitter.com/alvaropastor/status/1064593658866032640","1064593658866032640")</f>
        <v>1064593658866032640</v>
      </c>
      <c r="F1568" s="11" t="s">
        <v>4948</v>
      </c>
      <c r="G1568" s="12"/>
      <c r="H1568" s="12"/>
      <c r="I1568" s="13">
        <v>0</v>
      </c>
      <c r="J1568" s="13">
        <v>0</v>
      </c>
      <c r="K1568" s="14" t="str">
        <f>HYPERLINK("http://twitter.com/download/iphone","Twitter for iPhone")</f>
        <v>Twitter for iPhone</v>
      </c>
      <c r="L1568" s="13">
        <v>799</v>
      </c>
      <c r="M1568" s="13">
        <v>910</v>
      </c>
      <c r="N1568" s="13">
        <v>25</v>
      </c>
      <c r="O1568" s="15"/>
      <c r="P1568" s="6">
        <v>39486.345914351856</v>
      </c>
      <c r="Q1568" s="17" t="s">
        <v>76</v>
      </c>
      <c r="R1568" s="16" t="s">
        <v>5611</v>
      </c>
      <c r="S1568" s="12"/>
      <c r="T1568" s="12"/>
      <c r="U1568" s="10" t="str">
        <f>HYPERLINK("https://pbs.twimg.com/profile_images/1137984103/twitter.jpg","View")</f>
        <v>View</v>
      </c>
    </row>
    <row r="1569" spans="1:21" ht="20.399999999999999">
      <c r="A1569" s="6">
        <v>43423.454050925924</v>
      </c>
      <c r="B1569" s="7" t="str">
        <f>HYPERLINK("https://twitter.com/pedripol","@pedripol")</f>
        <v>@pedripol</v>
      </c>
      <c r="C1569" s="8" t="s">
        <v>5612</v>
      </c>
      <c r="D1569" s="9" t="s">
        <v>5613</v>
      </c>
      <c r="E1569" s="10" t="str">
        <f>HYPERLINK("https://twitter.com/pedripol/status/1064592603071549442","1064592603071549442")</f>
        <v>1064592603071549442</v>
      </c>
      <c r="F1569" s="11" t="s">
        <v>320</v>
      </c>
      <c r="G1569" s="12"/>
      <c r="H1569" s="12"/>
      <c r="I1569" s="13">
        <v>3</v>
      </c>
      <c r="J1569" s="13">
        <v>6</v>
      </c>
      <c r="K1569" s="14" t="str">
        <f>HYPERLINK("http://twitter.com/#!/download/ipad","Twitter for iPad")</f>
        <v>Twitter for iPad</v>
      </c>
      <c r="L1569" s="13">
        <v>6828</v>
      </c>
      <c r="M1569" s="13">
        <v>615</v>
      </c>
      <c r="N1569" s="13">
        <v>132</v>
      </c>
      <c r="O1569" s="15"/>
      <c r="P1569" s="6">
        <v>40383.347905092596</v>
      </c>
      <c r="Q1569" s="17" t="s">
        <v>5614</v>
      </c>
      <c r="R1569" s="16" t="s">
        <v>5615</v>
      </c>
      <c r="S1569" s="11" t="s">
        <v>5616</v>
      </c>
      <c r="T1569" s="12"/>
      <c r="U1569" s="10" t="str">
        <f>HYPERLINK("https://pbs.twimg.com/profile_images/584734498845282306/9T5Le8FZ.jpg","View")</f>
        <v>View</v>
      </c>
    </row>
    <row r="1570" spans="1:21" ht="20.399999999999999">
      <c r="A1570" s="6">
        <v>43423.448969907404</v>
      </c>
      <c r="B1570" s="7" t="str">
        <f>HYPERLINK("https://twitter.com/id_122133124564","@id_122133124564")</f>
        <v>@id_122133124564</v>
      </c>
      <c r="C1570" s="8" t="s">
        <v>5617</v>
      </c>
      <c r="D1570" s="9" t="s">
        <v>4800</v>
      </c>
      <c r="E1570" s="10" t="str">
        <f>HYPERLINK("https://twitter.com/id_122133124564/status/1064590760727781376","1064590760727781376")</f>
        <v>1064590760727781376</v>
      </c>
      <c r="F1570" s="11" t="s">
        <v>320</v>
      </c>
      <c r="G1570" s="12"/>
      <c r="H1570" s="12"/>
      <c r="I1570" s="13">
        <v>0</v>
      </c>
      <c r="J1570" s="13">
        <v>0</v>
      </c>
      <c r="K1570" s="14" t="str">
        <f>HYPERLINK("http://twitter.com","Twitter Web Client")</f>
        <v>Twitter Web Client</v>
      </c>
      <c r="L1570" s="13">
        <v>269</v>
      </c>
      <c r="M1570" s="13">
        <v>198</v>
      </c>
      <c r="N1570" s="13">
        <v>1</v>
      </c>
      <c r="O1570" s="15"/>
      <c r="P1570" s="6">
        <v>40189.506493055553</v>
      </c>
      <c r="Q1570" s="17" t="s">
        <v>29</v>
      </c>
      <c r="R1570" s="16" t="s">
        <v>5618</v>
      </c>
      <c r="S1570" s="12"/>
      <c r="T1570" s="12"/>
      <c r="U1570" s="10" t="str">
        <f>HYPERLINK("https://pbs.twimg.com/profile_images/1059191834717622272/BQP3iXVp.jpg","View")</f>
        <v>View</v>
      </c>
    </row>
    <row r="1571" spans="1:21" ht="40.799999999999997">
      <c r="A1571" s="6">
        <v>43423.44866898148</v>
      </c>
      <c r="B1571" s="7" t="str">
        <f>HYPERLINK("https://twitter.com/PacoBenicalap","@PacoBenicalap")</f>
        <v>@PacoBenicalap</v>
      </c>
      <c r="C1571" s="8" t="s">
        <v>5619</v>
      </c>
      <c r="D1571" s="9" t="s">
        <v>5620</v>
      </c>
      <c r="E1571" s="10" t="str">
        <f>HYPERLINK("https://twitter.com/PacoBenicalap/status/1064590651520622593","1064590651520622593")</f>
        <v>1064590651520622593</v>
      </c>
      <c r="F1571" s="11" t="s">
        <v>5621</v>
      </c>
      <c r="G1571" s="12"/>
      <c r="H1571" s="12"/>
      <c r="I1571" s="13">
        <v>0</v>
      </c>
      <c r="J1571" s="13">
        <v>0</v>
      </c>
      <c r="K1571" s="14" t="str">
        <f>HYPERLINK("http://www.facebook.com/twitter","Facebook")</f>
        <v>Facebook</v>
      </c>
      <c r="L1571" s="13">
        <v>107</v>
      </c>
      <c r="M1571" s="13">
        <v>242</v>
      </c>
      <c r="N1571" s="13">
        <v>0</v>
      </c>
      <c r="O1571" s="15"/>
      <c r="P1571" s="6">
        <v>42740.6955787037</v>
      </c>
      <c r="Q1571" s="17" t="s">
        <v>62</v>
      </c>
      <c r="R1571" s="16" t="s">
        <v>5622</v>
      </c>
      <c r="S1571" s="12"/>
      <c r="T1571" s="12"/>
      <c r="U1571" s="10" t="str">
        <f>HYPERLINK("https://pbs.twimg.com/profile_images/817171684063121410/WyttfiZv.jpg","View")</f>
        <v>View</v>
      </c>
    </row>
    <row r="1572" spans="1:21" ht="30.6">
      <c r="A1572" s="6">
        <v>43423.447013888886</v>
      </c>
      <c r="B1572" s="7" t="str">
        <f>HYPERLINK("https://twitter.com/JesusNJurado","@JesusNJurado")</f>
        <v>@JesusNJurado</v>
      </c>
      <c r="C1572" s="8" t="s">
        <v>5623</v>
      </c>
      <c r="D1572" s="9" t="s">
        <v>5624</v>
      </c>
      <c r="E1572" s="10" t="str">
        <f>HYPERLINK("https://twitter.com/JesusNJurado/status/1064590054054604803","1064590054054604803")</f>
        <v>1064590054054604803</v>
      </c>
      <c r="F1572" s="11" t="s">
        <v>5625</v>
      </c>
      <c r="G1572" s="12"/>
      <c r="H1572" s="12"/>
      <c r="I1572" s="13">
        <v>0</v>
      </c>
      <c r="J1572" s="13">
        <v>2</v>
      </c>
      <c r="K1572" s="14" t="str">
        <f>HYPERLINK("http://twitter.com","Twitter Web Client")</f>
        <v>Twitter Web Client</v>
      </c>
      <c r="L1572" s="13">
        <v>3305</v>
      </c>
      <c r="M1572" s="13">
        <v>4820</v>
      </c>
      <c r="N1572" s="13">
        <v>98</v>
      </c>
      <c r="O1572" s="15"/>
      <c r="P1572" s="6">
        <v>40174.68346064815</v>
      </c>
      <c r="Q1572" s="12"/>
      <c r="R1572" s="16" t="s">
        <v>5626</v>
      </c>
      <c r="S1572" s="11" t="s">
        <v>5627</v>
      </c>
      <c r="T1572" s="12"/>
      <c r="U1572" s="10" t="str">
        <f>HYPERLINK("https://pbs.twimg.com/profile_images/1065322607308877825/h_Yu3iHE.jpg","View")</f>
        <v>View</v>
      </c>
    </row>
    <row r="1573" spans="1:21" ht="30.6">
      <c r="A1573" s="6">
        <v>43423.446157407408</v>
      </c>
      <c r="B1573" s="7" t="str">
        <f>HYPERLINK("https://twitter.com/Nestor_Minguez","@Nestor_Minguez")</f>
        <v>@Nestor_Minguez</v>
      </c>
      <c r="C1573" s="8" t="s">
        <v>5628</v>
      </c>
      <c r="D1573" s="9" t="s">
        <v>5629</v>
      </c>
      <c r="E1573" s="10" t="str">
        <f>HYPERLINK("https://twitter.com/Nestor_Minguez/status/1064589741432152064","1064589741432152064")</f>
        <v>1064589741432152064</v>
      </c>
      <c r="F1573" s="12"/>
      <c r="G1573" s="12"/>
      <c r="H1573" s="12"/>
      <c r="I1573" s="13">
        <v>0</v>
      </c>
      <c r="J1573" s="13">
        <v>0</v>
      </c>
      <c r="K1573" s="14" t="str">
        <f t="shared" ref="K1573:K1574" si="288">HYPERLINK("http://twitter.com/download/android","Twitter for Android")</f>
        <v>Twitter for Android</v>
      </c>
      <c r="L1573" s="13">
        <v>106</v>
      </c>
      <c r="M1573" s="13">
        <v>187</v>
      </c>
      <c r="N1573" s="13">
        <v>1</v>
      </c>
      <c r="O1573" s="15"/>
      <c r="P1573" s="6">
        <v>41730.564826388887</v>
      </c>
      <c r="Q1573" s="12"/>
      <c r="R1573" s="16" t="s">
        <v>5630</v>
      </c>
      <c r="S1573" s="12"/>
      <c r="T1573" s="12"/>
      <c r="U1573" s="10" t="str">
        <f>HYPERLINK("https://pbs.twimg.com/profile_images/451099773609586689/p8K9rwla.jpeg","View")</f>
        <v>View</v>
      </c>
    </row>
    <row r="1574" spans="1:21" ht="51">
      <c r="A1574" s="6">
        <v>43423.445613425924</v>
      </c>
      <c r="B1574" s="7" t="str">
        <f>HYPERLINK("https://twitter.com/joseleana5461","@joseleana5461")</f>
        <v>@joseleana5461</v>
      </c>
      <c r="C1574" s="8" t="s">
        <v>2817</v>
      </c>
      <c r="D1574" s="9" t="s">
        <v>5631</v>
      </c>
      <c r="E1574" s="10" t="str">
        <f>HYPERLINK("https://twitter.com/joseleana5461/status/1064589544757100544","1064589544757100544")</f>
        <v>1064589544757100544</v>
      </c>
      <c r="F1574" s="12"/>
      <c r="G1574" s="12"/>
      <c r="H1574" s="12"/>
      <c r="I1574" s="13">
        <v>0</v>
      </c>
      <c r="J1574" s="13">
        <v>2</v>
      </c>
      <c r="K1574" s="14" t="str">
        <f t="shared" si="288"/>
        <v>Twitter for Android</v>
      </c>
      <c r="L1574" s="13">
        <v>68</v>
      </c>
      <c r="M1574" s="13">
        <v>157</v>
      </c>
      <c r="N1574" s="13">
        <v>0</v>
      </c>
      <c r="O1574" s="15"/>
      <c r="P1574" s="6">
        <v>42231.22657407407</v>
      </c>
      <c r="Q1574" s="12"/>
      <c r="R1574" s="18"/>
      <c r="S1574" s="12"/>
      <c r="T1574" s="12"/>
      <c r="U1574" s="10" t="str">
        <f>HYPERLINK("https://pbs.twimg.com/profile_images/976638684358422533/OQOuU0i6.jpg","View")</f>
        <v>View</v>
      </c>
    </row>
    <row r="1575" spans="1:21" ht="20.399999999999999">
      <c r="A1575" s="6">
        <v>43423.444791666669</v>
      </c>
      <c r="B1575" s="7" t="str">
        <f>HYPERLINK("https://twitter.com/Sinoquieresque","@Sinoquieresque")</f>
        <v>@Sinoquieresque</v>
      </c>
      <c r="C1575" s="8" t="s">
        <v>1114</v>
      </c>
      <c r="D1575" s="9" t="s">
        <v>5632</v>
      </c>
      <c r="E1575" s="10" t="str">
        <f>HYPERLINK("https://twitter.com/Sinoquieresque/status/1064589246965735424","1064589246965735424")</f>
        <v>1064589246965735424</v>
      </c>
      <c r="F1575" s="11" t="s">
        <v>3031</v>
      </c>
      <c r="G1575" s="12"/>
      <c r="H1575" s="12"/>
      <c r="I1575" s="13">
        <v>1</v>
      </c>
      <c r="J1575" s="13">
        <v>0</v>
      </c>
      <c r="K1575" s="14" t="str">
        <f>HYPERLINK("http://www.facebook.com/twitter","Facebook")</f>
        <v>Facebook</v>
      </c>
      <c r="L1575" s="13">
        <v>562</v>
      </c>
      <c r="M1575" s="13">
        <v>538</v>
      </c>
      <c r="N1575" s="13">
        <v>9</v>
      </c>
      <c r="O1575" s="15"/>
      <c r="P1575" s="6">
        <v>42372.177534722221</v>
      </c>
      <c r="Q1575" s="12"/>
      <c r="R1575" s="16" t="s">
        <v>1117</v>
      </c>
      <c r="S1575" s="12"/>
      <c r="T1575" s="12"/>
      <c r="U1575" s="10" t="str">
        <f>HYPERLINK("https://pbs.twimg.com/profile_images/753708072841965568/eoI6-kkH.jpg","View")</f>
        <v>View</v>
      </c>
    </row>
    <row r="1576" spans="1:21" ht="20.399999999999999">
      <c r="A1576" s="6">
        <v>43423.444456018522</v>
      </c>
      <c r="B1576" s="7" t="str">
        <f>HYPERLINK("https://twitter.com/Belda1954","@Belda1954")</f>
        <v>@Belda1954</v>
      </c>
      <c r="C1576" s="8" t="s">
        <v>5633</v>
      </c>
      <c r="D1576" s="9" t="s">
        <v>4152</v>
      </c>
      <c r="E1576" s="10" t="str">
        <f>HYPERLINK("https://twitter.com/Belda1954/status/1064589126635261952","1064589126635261952")</f>
        <v>1064589126635261952</v>
      </c>
      <c r="F1576" s="11" t="s">
        <v>5634</v>
      </c>
      <c r="G1576" s="12"/>
      <c r="H1576" s="12"/>
      <c r="I1576" s="13">
        <v>0</v>
      </c>
      <c r="J1576" s="13">
        <v>0</v>
      </c>
      <c r="K1576" s="14" t="str">
        <f>HYPERLINK("http://twitter.com","Twitter Web Client")</f>
        <v>Twitter Web Client</v>
      </c>
      <c r="L1576" s="13">
        <v>333</v>
      </c>
      <c r="M1576" s="13">
        <v>1031</v>
      </c>
      <c r="N1576" s="13">
        <v>7</v>
      </c>
      <c r="O1576" s="15"/>
      <c r="P1576" s="6">
        <v>40445.405740740738</v>
      </c>
      <c r="Q1576" s="17" t="s">
        <v>29</v>
      </c>
      <c r="R1576" s="16" t="s">
        <v>5635</v>
      </c>
      <c r="S1576" s="12"/>
      <c r="T1576" s="12"/>
      <c r="U1576" s="10" t="str">
        <f>HYPERLINK("https://pbs.twimg.com/profile_images/760042410126737408/0vT_CbAN.jpg","View")</f>
        <v>View</v>
      </c>
    </row>
    <row r="1577" spans="1:21" ht="51">
      <c r="A1577" s="6">
        <v>43423.437164351853</v>
      </c>
      <c r="B1577" s="7" t="str">
        <f>HYPERLINK("https://twitter.com/JC_C_A","@JC_C_A")</f>
        <v>@JC_C_A</v>
      </c>
      <c r="C1577" s="8" t="s">
        <v>161</v>
      </c>
      <c r="D1577" s="9" t="s">
        <v>5636</v>
      </c>
      <c r="E1577" s="10" t="str">
        <f>HYPERLINK("https://twitter.com/JC_C_A/status/1064586484852948992","1064586484852948992")</f>
        <v>1064586484852948992</v>
      </c>
      <c r="F1577" s="12"/>
      <c r="G1577" s="12"/>
      <c r="H1577" s="12"/>
      <c r="I1577" s="13">
        <v>2</v>
      </c>
      <c r="J1577" s="13">
        <v>0</v>
      </c>
      <c r="K1577" s="14" t="str">
        <f t="shared" ref="K1577:K1579" si="289">HYPERLINK("http://twitter.com/download/android","Twitter for Android")</f>
        <v>Twitter for Android</v>
      </c>
      <c r="L1577" s="13">
        <v>1491</v>
      </c>
      <c r="M1577" s="13">
        <v>1218</v>
      </c>
      <c r="N1577" s="13">
        <v>4</v>
      </c>
      <c r="O1577" s="15"/>
      <c r="P1577" s="6">
        <v>43055.56385416667</v>
      </c>
      <c r="Q1577" s="17" t="s">
        <v>163</v>
      </c>
      <c r="R1577" s="16" t="s">
        <v>164</v>
      </c>
      <c r="S1577" s="12"/>
      <c r="T1577" s="12"/>
      <c r="U1577" s="10" t="str">
        <f>HYPERLINK("https://pbs.twimg.com/profile_images/1029775179520647169/gj_YgLkP.jpg","View")</f>
        <v>View</v>
      </c>
    </row>
    <row r="1578" spans="1:21" ht="51">
      <c r="A1578" s="6">
        <v>43423.437118055561</v>
      </c>
      <c r="B1578" s="7" t="str">
        <f>HYPERLINK("https://twitter.com/alhambrafrb","@alhambrafrb")</f>
        <v>@alhambrafrb</v>
      </c>
      <c r="C1578" s="8" t="s">
        <v>5637</v>
      </c>
      <c r="D1578" s="9" t="s">
        <v>5638</v>
      </c>
      <c r="E1578" s="10" t="str">
        <f>HYPERLINK("https://twitter.com/alhambrafrb/status/1064586465852702721","1064586465852702721")</f>
        <v>1064586465852702721</v>
      </c>
      <c r="F1578" s="12"/>
      <c r="G1578" s="12"/>
      <c r="H1578" s="12"/>
      <c r="I1578" s="13">
        <v>0</v>
      </c>
      <c r="J1578" s="13">
        <v>1</v>
      </c>
      <c r="K1578" s="14" t="str">
        <f t="shared" si="289"/>
        <v>Twitter for Android</v>
      </c>
      <c r="L1578" s="13">
        <v>293</v>
      </c>
      <c r="M1578" s="13">
        <v>699</v>
      </c>
      <c r="N1578" s="13">
        <v>15</v>
      </c>
      <c r="O1578" s="15"/>
      <c r="P1578" s="6">
        <v>40516.15929398148</v>
      </c>
      <c r="Q1578" s="17" t="s">
        <v>5639</v>
      </c>
      <c r="R1578" s="16" t="s">
        <v>5640</v>
      </c>
      <c r="S1578" s="12"/>
      <c r="T1578" s="12"/>
      <c r="U1578" s="10" t="str">
        <f>HYPERLINK("https://pbs.twimg.com/profile_images/890986769876955136/5i3x8Uc6.jpg","View")</f>
        <v>View</v>
      </c>
    </row>
    <row r="1579" spans="1:21" ht="30.6">
      <c r="A1579" s="6">
        <v>43423.436828703707</v>
      </c>
      <c r="B1579" s="7" t="str">
        <f>HYPERLINK("https://twitter.com/GquirogaGonzalo","@GquirogaGonzalo")</f>
        <v>@GquirogaGonzalo</v>
      </c>
      <c r="C1579" s="8" t="s">
        <v>3833</v>
      </c>
      <c r="D1579" s="9" t="s">
        <v>5641</v>
      </c>
      <c r="E1579" s="10" t="str">
        <f>HYPERLINK("https://twitter.com/GquirogaGonzalo/status/1064586363348164609","1064586363348164609")</f>
        <v>1064586363348164609</v>
      </c>
      <c r="F1579" s="12"/>
      <c r="G1579" s="12"/>
      <c r="H1579" s="12"/>
      <c r="I1579" s="13">
        <v>8</v>
      </c>
      <c r="J1579" s="13">
        <v>9</v>
      </c>
      <c r="K1579" s="14" t="str">
        <f t="shared" si="289"/>
        <v>Twitter for Android</v>
      </c>
      <c r="L1579" s="13">
        <v>2866</v>
      </c>
      <c r="M1579" s="13">
        <v>5001</v>
      </c>
      <c r="N1579" s="13">
        <v>30</v>
      </c>
      <c r="O1579" s="15"/>
      <c r="P1579" s="6">
        <v>41614.179907407408</v>
      </c>
      <c r="Q1579" s="12"/>
      <c r="R1579" s="16" t="s">
        <v>5642</v>
      </c>
      <c r="S1579" s="12"/>
      <c r="T1579" s="12"/>
      <c r="U1579" s="10" t="str">
        <f>HYPERLINK("https://pbs.twimg.com/profile_images/928029513669332992/h42Zg1ls.jpg","View")</f>
        <v>View</v>
      </c>
    </row>
    <row r="1580" spans="1:21" ht="30.6">
      <c r="A1580" s="6">
        <v>43423.436655092592</v>
      </c>
      <c r="B1580" s="7" t="str">
        <f>HYPERLINK("https://twitter.com/chaosbusiness","@chaosbusiness")</f>
        <v>@chaosbusiness</v>
      </c>
      <c r="C1580" s="8" t="s">
        <v>5643</v>
      </c>
      <c r="D1580" s="9" t="s">
        <v>5644</v>
      </c>
      <c r="E1580" s="10" t="str">
        <f>HYPERLINK("https://twitter.com/chaosbusiness/status/1064586299435307009","1064586299435307009")</f>
        <v>1064586299435307009</v>
      </c>
      <c r="F1580" s="11" t="s">
        <v>5645</v>
      </c>
      <c r="G1580" s="12"/>
      <c r="H1580" s="12"/>
      <c r="I1580" s="13">
        <v>0</v>
      </c>
      <c r="J1580" s="13">
        <v>0</v>
      </c>
      <c r="K1580" s="14" t="str">
        <f>HYPERLINK("http://twitter.com/download/iphone","Twitter for iPhone")</f>
        <v>Twitter for iPhone</v>
      </c>
      <c r="L1580" s="13">
        <v>822</v>
      </c>
      <c r="M1580" s="13">
        <v>424</v>
      </c>
      <c r="N1580" s="13">
        <v>96</v>
      </c>
      <c r="O1580" s="15"/>
      <c r="P1580" s="6">
        <v>41693.207951388889</v>
      </c>
      <c r="Q1580" s="17" t="s">
        <v>5646</v>
      </c>
      <c r="R1580" s="16" t="s">
        <v>5647</v>
      </c>
      <c r="S1580" s="11" t="s">
        <v>5648</v>
      </c>
      <c r="T1580" s="12"/>
      <c r="U1580" s="10" t="str">
        <f>HYPERLINK("https://pbs.twimg.com/profile_images/1038354106140815360/_iSczL5K.jpg","View")</f>
        <v>View</v>
      </c>
    </row>
    <row r="1581" spans="1:21" ht="40.799999999999997">
      <c r="A1581" s="6">
        <v>43423.436527777776</v>
      </c>
      <c r="B1581" s="7" t="str">
        <f>HYPERLINK("https://twitter.com/robertoecopaz","@robertoecopaz")</f>
        <v>@robertoecopaz</v>
      </c>
      <c r="C1581" s="8" t="s">
        <v>5649</v>
      </c>
      <c r="D1581" s="9" t="s">
        <v>5650</v>
      </c>
      <c r="E1581" s="10" t="str">
        <f>HYPERLINK("https://twitter.com/robertoecopaz/status/1064586253490900993","1064586253490900993")</f>
        <v>1064586253490900993</v>
      </c>
      <c r="F1581" s="12"/>
      <c r="G1581" s="12"/>
      <c r="H1581" s="12"/>
      <c r="I1581" s="13">
        <v>0</v>
      </c>
      <c r="J1581" s="13">
        <v>1</v>
      </c>
      <c r="K1581" s="14" t="str">
        <f t="shared" ref="K1581:K1582" si="290">HYPERLINK("http://twitter.com/download/android","Twitter for Android")</f>
        <v>Twitter for Android</v>
      </c>
      <c r="L1581" s="13">
        <v>413</v>
      </c>
      <c r="M1581" s="13">
        <v>796</v>
      </c>
      <c r="N1581" s="13">
        <v>8</v>
      </c>
      <c r="O1581" s="15"/>
      <c r="P1581" s="6">
        <v>40634.18378472222</v>
      </c>
      <c r="Q1581" s="17" t="s">
        <v>5651</v>
      </c>
      <c r="R1581" s="16" t="s">
        <v>5652</v>
      </c>
      <c r="S1581" s="12"/>
      <c r="T1581" s="12"/>
      <c r="U1581" s="10" t="str">
        <f>HYPERLINK("https://pbs.twimg.com/profile_images/1310197410/Fotos_camara_Alicia_010.JPG","View")</f>
        <v>View</v>
      </c>
    </row>
    <row r="1582" spans="1:21" ht="40.799999999999997">
      <c r="A1582" s="6">
        <v>43423.435613425929</v>
      </c>
      <c r="B1582" s="7" t="str">
        <f>HYPERLINK("https://twitter.com/Julio_Garco","@Julio_Garco")</f>
        <v>@Julio_Garco</v>
      </c>
      <c r="C1582" s="8" t="s">
        <v>5653</v>
      </c>
      <c r="D1582" s="9" t="s">
        <v>5654</v>
      </c>
      <c r="E1582" s="10" t="str">
        <f>HYPERLINK("https://twitter.com/Julio_Garco/status/1064585921759256576","1064585921759256576")</f>
        <v>1064585921759256576</v>
      </c>
      <c r="F1582" s="12"/>
      <c r="G1582" s="12"/>
      <c r="H1582" s="12"/>
      <c r="I1582" s="13">
        <v>0</v>
      </c>
      <c r="J1582" s="13">
        <v>0</v>
      </c>
      <c r="K1582" s="14" t="str">
        <f t="shared" si="290"/>
        <v>Twitter for Android</v>
      </c>
      <c r="L1582" s="13">
        <v>840</v>
      </c>
      <c r="M1582" s="13">
        <v>610</v>
      </c>
      <c r="N1582" s="13">
        <v>24</v>
      </c>
      <c r="O1582" s="15"/>
      <c r="P1582" s="6">
        <v>40757.64340277778</v>
      </c>
      <c r="Q1582" s="17" t="s">
        <v>5655</v>
      </c>
      <c r="R1582" s="16" t="s">
        <v>5656</v>
      </c>
      <c r="S1582" s="11" t="s">
        <v>5657</v>
      </c>
      <c r="T1582" s="12"/>
      <c r="U1582" s="10" t="str">
        <f>HYPERLINK("https://pbs.twimg.com/profile_images/1061937018790440960/C5FUmPg8.jpg","View")</f>
        <v>View</v>
      </c>
    </row>
    <row r="1583" spans="1:21" ht="40.799999999999997">
      <c r="A1583" s="6">
        <v>43423.435590277775</v>
      </c>
      <c r="B1583" s="7" t="str">
        <f>HYPERLINK("https://twitter.com/domenec_ortiz","@domenec_ortiz")</f>
        <v>@domenec_ortiz</v>
      </c>
      <c r="C1583" s="8" t="s">
        <v>800</v>
      </c>
      <c r="D1583" s="9" t="s">
        <v>5658</v>
      </c>
      <c r="E1583" s="10" t="str">
        <f>HYPERLINK("https://twitter.com/domenec_ortiz/status/1064585915325124608","1064585915325124608")</f>
        <v>1064585915325124608</v>
      </c>
      <c r="F1583" s="11" t="s">
        <v>5659</v>
      </c>
      <c r="G1583" s="12"/>
      <c r="H1583" s="12"/>
      <c r="I1583" s="13">
        <v>0</v>
      </c>
      <c r="J1583" s="13">
        <v>0</v>
      </c>
      <c r="K1583" s="14" t="str">
        <f>HYPERLINK("http://twitter.com/download/iphone","Twitter for iPhone")</f>
        <v>Twitter for iPhone</v>
      </c>
      <c r="L1583" s="13">
        <v>9268</v>
      </c>
      <c r="M1583" s="13">
        <v>5970</v>
      </c>
      <c r="N1583" s="13">
        <v>73</v>
      </c>
      <c r="O1583" s="15"/>
      <c r="P1583" s="6">
        <v>41310.400046296294</v>
      </c>
      <c r="Q1583" s="17" t="s">
        <v>802</v>
      </c>
      <c r="R1583" s="16" t="s">
        <v>803</v>
      </c>
      <c r="S1583" s="12"/>
      <c r="T1583" s="12"/>
      <c r="U1583" s="10" t="str">
        <f>HYPERLINK("https://pbs.twimg.com/profile_images/378800000699264746/5987c0916b8a717f3bb1b4d28f125346.jpeg","View")</f>
        <v>View</v>
      </c>
    </row>
    <row r="1584" spans="1:21" ht="40.799999999999997">
      <c r="A1584" s="6">
        <v>43423.434664351851</v>
      </c>
      <c r="B1584" s="7" t="str">
        <f>HYPERLINK("https://twitter.com/HectorMorales95","@HectorMorales95")</f>
        <v>@HectorMorales95</v>
      </c>
      <c r="C1584" s="8" t="s">
        <v>5660</v>
      </c>
      <c r="D1584" s="9" t="s">
        <v>5661</v>
      </c>
      <c r="E1584" s="10" t="str">
        <f>HYPERLINK("https://twitter.com/HectorMorales95/status/1064585580036665345","1064585580036665345")</f>
        <v>1064585580036665345</v>
      </c>
      <c r="F1584" s="11" t="s">
        <v>4948</v>
      </c>
      <c r="G1584" s="12"/>
      <c r="H1584" s="12"/>
      <c r="I1584" s="13">
        <v>0</v>
      </c>
      <c r="J1584" s="13">
        <v>0</v>
      </c>
      <c r="K1584" s="14" t="str">
        <f t="shared" ref="K1584:K1586" si="291">HYPERLINK("http://twitter.com/download/android","Twitter for Android")</f>
        <v>Twitter for Android</v>
      </c>
      <c r="L1584" s="13">
        <v>216</v>
      </c>
      <c r="M1584" s="13">
        <v>844</v>
      </c>
      <c r="N1584" s="13">
        <v>5</v>
      </c>
      <c r="O1584" s="15"/>
      <c r="P1584" s="6">
        <v>40038.536145833335</v>
      </c>
      <c r="Q1584" s="17" t="s">
        <v>805</v>
      </c>
      <c r="R1584" s="16" t="s">
        <v>5662</v>
      </c>
      <c r="S1584" s="12"/>
      <c r="T1584" s="12"/>
      <c r="U1584" s="10" t="str">
        <f>HYPERLINK("https://pbs.twimg.com/profile_images/665990695640018944/liNehBjs.jpg","View")</f>
        <v>View</v>
      </c>
    </row>
    <row r="1585" spans="1:21" ht="61.2">
      <c r="A1585" s="6">
        <v>43423.434664351851</v>
      </c>
      <c r="B1585" s="7" t="str">
        <f>HYPERLINK("https://twitter.com/RadioRho","@RadioRho")</f>
        <v>@RadioRho</v>
      </c>
      <c r="C1585" s="8" t="s">
        <v>5663</v>
      </c>
      <c r="D1585" s="9" t="s">
        <v>5664</v>
      </c>
      <c r="E1585" s="10" t="str">
        <f>HYPERLINK("https://twitter.com/RadioRho/status/1064585579814359041","1064585579814359041")</f>
        <v>1064585579814359041</v>
      </c>
      <c r="F1585" s="17" t="s">
        <v>5665</v>
      </c>
      <c r="G1585" s="12"/>
      <c r="H1585" s="12"/>
      <c r="I1585" s="13">
        <v>0</v>
      </c>
      <c r="J1585" s="13">
        <v>2</v>
      </c>
      <c r="K1585" s="14" t="str">
        <f t="shared" si="291"/>
        <v>Twitter for Android</v>
      </c>
      <c r="L1585" s="13">
        <v>9892</v>
      </c>
      <c r="M1585" s="13">
        <v>813</v>
      </c>
      <c r="N1585" s="13">
        <v>89</v>
      </c>
      <c r="O1585" s="15"/>
      <c r="P1585" s="6">
        <v>42664.217962962968</v>
      </c>
      <c r="Q1585" s="12"/>
      <c r="R1585" s="16" t="s">
        <v>5666</v>
      </c>
      <c r="S1585" s="11" t="s">
        <v>5667</v>
      </c>
      <c r="T1585" s="12"/>
      <c r="U1585" s="10" t="str">
        <f>HYPERLINK("https://pbs.twimg.com/profile_images/985499891207168002/vC66l0AV.jpg","View")</f>
        <v>View</v>
      </c>
    </row>
    <row r="1586" spans="1:21" ht="30.6">
      <c r="A1586" s="6">
        <v>43423.43450231482</v>
      </c>
      <c r="B1586" s="7" t="str">
        <f>HYPERLINK("https://twitter.com/FancyMalone","@FancyMalone")</f>
        <v>@FancyMalone</v>
      </c>
      <c r="C1586" s="8" t="s">
        <v>5668</v>
      </c>
      <c r="D1586" s="9" t="s">
        <v>5669</v>
      </c>
      <c r="E1586" s="10" t="str">
        <f>HYPERLINK("https://twitter.com/FancyMalone/status/1064585518082600960","1064585518082600960")</f>
        <v>1064585518082600960</v>
      </c>
      <c r="F1586" s="12"/>
      <c r="G1586" s="12"/>
      <c r="H1586" s="12"/>
      <c r="I1586" s="13">
        <v>0</v>
      </c>
      <c r="J1586" s="13">
        <v>0</v>
      </c>
      <c r="K1586" s="14" t="str">
        <f t="shared" si="291"/>
        <v>Twitter for Android</v>
      </c>
      <c r="L1586" s="13">
        <v>95</v>
      </c>
      <c r="M1586" s="13">
        <v>221</v>
      </c>
      <c r="N1586" s="13">
        <v>1</v>
      </c>
      <c r="O1586" s="15"/>
      <c r="P1586" s="6">
        <v>40845.118229166663</v>
      </c>
      <c r="Q1586" s="17" t="s">
        <v>5670</v>
      </c>
      <c r="R1586" s="16" t="s">
        <v>5671</v>
      </c>
      <c r="S1586" s="12"/>
      <c r="T1586" s="12"/>
      <c r="U1586" s="10" t="str">
        <f>HYPERLINK("https://pbs.twimg.com/profile_images/944610700533608453/GSgJ9gsR.jpg","View")</f>
        <v>View</v>
      </c>
    </row>
    <row r="1587" spans="1:21" ht="51">
      <c r="A1587" s="6">
        <v>43423.434432870374</v>
      </c>
      <c r="B1587" s="7" t="str">
        <f>HYPERLINK("https://twitter.com/CanalcostaTv","@CanalcostaTv")</f>
        <v>@CanalcostaTv</v>
      </c>
      <c r="C1587" s="8" t="s">
        <v>5672</v>
      </c>
      <c r="D1587" s="9" t="s">
        <v>5673</v>
      </c>
      <c r="E1587" s="10" t="str">
        <f>HYPERLINK("https://twitter.com/CanalcostaTv/status/1064585496049930241","1064585496049930241")</f>
        <v>1064585496049930241</v>
      </c>
      <c r="F1587" s="12"/>
      <c r="G1587" s="11" t="s">
        <v>5674</v>
      </c>
      <c r="H1587" s="12"/>
      <c r="I1587" s="13">
        <v>0</v>
      </c>
      <c r="J1587" s="13">
        <v>0</v>
      </c>
      <c r="K1587" s="14" t="str">
        <f>HYPERLINK("http://twitter.com","Twitter Web Client")</f>
        <v>Twitter Web Client</v>
      </c>
      <c r="L1587" s="13">
        <v>4361</v>
      </c>
      <c r="M1587" s="13">
        <v>1245</v>
      </c>
      <c r="N1587" s="13">
        <v>53</v>
      </c>
      <c r="O1587" s="15"/>
      <c r="P1587" s="6">
        <v>40694.126215277778</v>
      </c>
      <c r="Q1587" s="12"/>
      <c r="R1587" s="16" t="s">
        <v>5675</v>
      </c>
      <c r="S1587" s="11" t="s">
        <v>5676</v>
      </c>
      <c r="T1587" s="12"/>
      <c r="U1587" s="10" t="str">
        <f>HYPERLINK("https://pbs.twimg.com/profile_images/1375951694/logo.png","View")</f>
        <v>View</v>
      </c>
    </row>
    <row r="1588" spans="1:21" ht="30.6">
      <c r="A1588" s="6">
        <v>43423.434004629627</v>
      </c>
      <c r="B1588" s="7" t="str">
        <f>HYPERLINK("https://twitter.com/AtheneanVenture","@AtheneanVenture")</f>
        <v>@AtheneanVenture</v>
      </c>
      <c r="C1588" s="8" t="s">
        <v>5677</v>
      </c>
      <c r="D1588" s="9" t="s">
        <v>5678</v>
      </c>
      <c r="E1588" s="10" t="str">
        <f>HYPERLINK("https://twitter.com/AtheneanVenture/status/1064585337262039040","1064585337262039040")</f>
        <v>1064585337262039040</v>
      </c>
      <c r="F1588" s="17" t="s">
        <v>5679</v>
      </c>
      <c r="G1588" s="12"/>
      <c r="H1588" s="12"/>
      <c r="I1588" s="13">
        <v>0</v>
      </c>
      <c r="J1588" s="13">
        <v>0</v>
      </c>
      <c r="K1588" s="14" t="str">
        <f>HYPERLINK("http://nuzzel.com/","Nuzzel")</f>
        <v>Nuzzel</v>
      </c>
      <c r="L1588" s="13">
        <v>541</v>
      </c>
      <c r="M1588" s="13">
        <v>720</v>
      </c>
      <c r="N1588" s="13">
        <v>17</v>
      </c>
      <c r="O1588" s="15"/>
      <c r="P1588" s="6">
        <v>40843.568506944444</v>
      </c>
      <c r="Q1588" s="17" t="s">
        <v>5680</v>
      </c>
      <c r="R1588" s="16" t="s">
        <v>5681</v>
      </c>
      <c r="S1588" s="11" t="s">
        <v>5682</v>
      </c>
      <c r="T1588" s="12"/>
      <c r="U1588" s="10" t="str">
        <f>HYPERLINK("https://pbs.twimg.com/profile_images/849589266745372672/o8KgjynA.jpg","View")</f>
        <v>View</v>
      </c>
    </row>
    <row r="1589" spans="1:21" ht="20.399999999999999">
      <c r="A1589" s="6">
        <v>43423.433923611112</v>
      </c>
      <c r="B1589" s="7" t="str">
        <f>HYPERLINK("https://twitter.com/puringerMe","@puringerMe")</f>
        <v>@puringerMe</v>
      </c>
      <c r="C1589" s="8" t="s">
        <v>5683</v>
      </c>
      <c r="D1589" s="9" t="s">
        <v>5684</v>
      </c>
      <c r="E1589" s="10" t="str">
        <f>HYPERLINK("https://twitter.com/puringerMe/status/1064585309281759234","1064585309281759234")</f>
        <v>1064585309281759234</v>
      </c>
      <c r="F1589" s="12"/>
      <c r="G1589" s="11" t="s">
        <v>5685</v>
      </c>
      <c r="H1589" s="12"/>
      <c r="I1589" s="13">
        <v>4</v>
      </c>
      <c r="J1589" s="13">
        <v>24</v>
      </c>
      <c r="K1589" s="14" t="str">
        <f>HYPERLINK("http://twitter.com/download/iphone","Twitter for iPhone")</f>
        <v>Twitter for iPhone</v>
      </c>
      <c r="L1589" s="13">
        <v>5849</v>
      </c>
      <c r="M1589" s="13">
        <v>651</v>
      </c>
      <c r="N1589" s="13">
        <v>114</v>
      </c>
      <c r="O1589" s="15"/>
      <c r="P1589" s="6">
        <v>41412.037974537037</v>
      </c>
      <c r="Q1589" s="17" t="s">
        <v>5686</v>
      </c>
      <c r="R1589" s="16" t="s">
        <v>5687</v>
      </c>
      <c r="S1589" s="12"/>
      <c r="T1589" s="12"/>
      <c r="U1589" s="10" t="str">
        <f>HYPERLINK("https://pbs.twimg.com/profile_images/1056590118096658432/bUNbxSxB.jpg","View")</f>
        <v>View</v>
      </c>
    </row>
    <row r="1590" spans="1:21" ht="20.399999999999999">
      <c r="A1590" s="6">
        <v>43423.432939814811</v>
      </c>
      <c r="B1590" s="7" t="str">
        <f>HYPERLINK("https://twitter.com/laquintacolumna","@laquintacolumna")</f>
        <v>@laquintacolumna</v>
      </c>
      <c r="C1590" s="8" t="s">
        <v>213</v>
      </c>
      <c r="D1590" s="9" t="s">
        <v>5688</v>
      </c>
      <c r="E1590" s="10" t="str">
        <f>HYPERLINK("https://twitter.com/laquintacolumna/status/1064584954561081344","1064584954561081344")</f>
        <v>1064584954561081344</v>
      </c>
      <c r="F1590" s="12"/>
      <c r="G1590" s="12"/>
      <c r="H1590" s="12"/>
      <c r="I1590" s="13">
        <v>9</v>
      </c>
      <c r="J1590" s="13">
        <v>28</v>
      </c>
      <c r="K1590" s="14" t="str">
        <f>HYPERLINK("http://twitter.com/download/android","Twitter for Android")</f>
        <v>Twitter for Android</v>
      </c>
      <c r="L1590" s="13">
        <v>41559</v>
      </c>
      <c r="M1590" s="13">
        <v>145</v>
      </c>
      <c r="N1590" s="13">
        <v>1277</v>
      </c>
      <c r="O1590" s="15"/>
      <c r="P1590" s="6">
        <v>39568.090937499997</v>
      </c>
      <c r="Q1590" s="17" t="s">
        <v>216</v>
      </c>
      <c r="R1590" s="16" t="s">
        <v>217</v>
      </c>
      <c r="S1590" s="12"/>
      <c r="T1590" s="12"/>
      <c r="U1590" s="10" t="str">
        <f>HYPERLINK("https://pbs.twimg.com/profile_images/1058117934525149184/yaVFD3Ng.jpg","View")</f>
        <v>View</v>
      </c>
    </row>
    <row r="1591" spans="1:21" ht="20.399999999999999">
      <c r="A1591" s="6">
        <v>43423.432268518518</v>
      </c>
      <c r="B1591" s="7" t="str">
        <f>HYPERLINK("https://twitter.com/mendezbarrero52","@mendezbarrero52")</f>
        <v>@mendezbarrero52</v>
      </c>
      <c r="C1591" s="8" t="s">
        <v>283</v>
      </c>
      <c r="D1591" s="9" t="s">
        <v>5689</v>
      </c>
      <c r="E1591" s="10" t="str">
        <f>HYPERLINK("https://twitter.com/mendezbarrero52/status/1064584708045062149","1064584708045062149")</f>
        <v>1064584708045062149</v>
      </c>
      <c r="F1591" s="12"/>
      <c r="G1591" s="12"/>
      <c r="H1591" s="12"/>
      <c r="I1591" s="13">
        <v>0</v>
      </c>
      <c r="J1591" s="13">
        <v>0</v>
      </c>
      <c r="K1591" s="14" t="str">
        <f>HYPERLINK("http://www.samruston.co.uk","Flamingo for Android")</f>
        <v>Flamingo for Android</v>
      </c>
      <c r="L1591" s="13">
        <v>1538</v>
      </c>
      <c r="M1591" s="13">
        <v>2063</v>
      </c>
      <c r="N1591" s="13">
        <v>10</v>
      </c>
      <c r="O1591" s="15"/>
      <c r="P1591" s="6">
        <v>41630.437476851854</v>
      </c>
      <c r="Q1591" s="17" t="s">
        <v>392</v>
      </c>
      <c r="R1591" s="16" t="s">
        <v>5690</v>
      </c>
      <c r="S1591" s="12"/>
      <c r="T1591" s="12"/>
      <c r="U1591" s="10" t="str">
        <f>HYPERLINK("https://pbs.twimg.com/profile_images/629724434493014020/h5-thTf7.jpg","View")</f>
        <v>View</v>
      </c>
    </row>
    <row r="1592" spans="1:21" ht="30.6">
      <c r="A1592" s="6">
        <v>43423.432037037041</v>
      </c>
      <c r="B1592" s="7" t="str">
        <f>HYPERLINK("https://twitter.com/bcn2day","@bcn2day")</f>
        <v>@bcn2day</v>
      </c>
      <c r="C1592" s="8" t="s">
        <v>3883</v>
      </c>
      <c r="D1592" s="9" t="s">
        <v>5691</v>
      </c>
      <c r="E1592" s="10" t="str">
        <f>HYPERLINK("https://twitter.com/bcn2day/status/1064584625463443459","1064584625463443459")</f>
        <v>1064584625463443459</v>
      </c>
      <c r="F1592" s="11" t="s">
        <v>5692</v>
      </c>
      <c r="G1592" s="12"/>
      <c r="H1592" s="12"/>
      <c r="I1592" s="13">
        <v>0</v>
      </c>
      <c r="J1592" s="13">
        <v>0</v>
      </c>
      <c r="K1592" s="14" t="str">
        <f>HYPERLINK("http://www.facebook.com/twitter","Facebook")</f>
        <v>Facebook</v>
      </c>
      <c r="L1592" s="13">
        <v>60</v>
      </c>
      <c r="M1592" s="13">
        <v>10</v>
      </c>
      <c r="N1592" s="13">
        <v>1</v>
      </c>
      <c r="O1592" s="15"/>
      <c r="P1592" s="6">
        <v>42263.745567129634</v>
      </c>
      <c r="Q1592" s="12"/>
      <c r="R1592" s="18"/>
      <c r="S1592" s="12"/>
      <c r="T1592" s="12"/>
      <c r="U1592" s="10" t="str">
        <f>HYPERLINK("https://pbs.twimg.com/profile_images/644504700356816896/LMbKA-C7.jpg","View")</f>
        <v>View</v>
      </c>
    </row>
    <row r="1593" spans="1:21" ht="51">
      <c r="A1593" s="6">
        <v>43423.427314814813</v>
      </c>
      <c r="B1593" s="7" t="str">
        <f t="shared" ref="B1593:B1594" si="292">HYPERLINK("https://twitter.com/CecilioCastro","@CecilioCastro")</f>
        <v>@CecilioCastro</v>
      </c>
      <c r="C1593" s="8" t="s">
        <v>2809</v>
      </c>
      <c r="D1593" s="9" t="s">
        <v>5693</v>
      </c>
      <c r="E1593" s="10" t="str">
        <f>HYPERLINK("https://twitter.com/CecilioCastro/status/1064582915953180673","1064582915953180673")</f>
        <v>1064582915953180673</v>
      </c>
      <c r="F1593" s="12"/>
      <c r="G1593" s="12"/>
      <c r="H1593" s="12"/>
      <c r="I1593" s="13">
        <v>23</v>
      </c>
      <c r="J1593" s="13">
        <v>29</v>
      </c>
      <c r="K1593" s="14" t="str">
        <f t="shared" ref="K1593:K1594" si="293">HYPERLINK("http://twitter.com/download/iphone","Twitter for iPhone")</f>
        <v>Twitter for iPhone</v>
      </c>
      <c r="L1593" s="13">
        <v>12761</v>
      </c>
      <c r="M1593" s="13">
        <v>13343</v>
      </c>
      <c r="N1593" s="13">
        <v>154</v>
      </c>
      <c r="O1593" s="15"/>
      <c r="P1593" s="6">
        <v>40830.480543981481</v>
      </c>
      <c r="Q1593" s="17" t="s">
        <v>2814</v>
      </c>
      <c r="R1593" s="16" t="s">
        <v>2815</v>
      </c>
      <c r="S1593" s="11" t="s">
        <v>2816</v>
      </c>
      <c r="T1593" s="12"/>
      <c r="U1593" s="10" t="str">
        <f t="shared" ref="U1593:U1594" si="294">HYPERLINK("https://pbs.twimg.com/profile_images/1033024985697267712/2ldOzQJi.jpg","View")</f>
        <v>View</v>
      </c>
    </row>
    <row r="1594" spans="1:21" ht="51">
      <c r="A1594" s="6">
        <v>43423.425729166665</v>
      </c>
      <c r="B1594" s="7" t="str">
        <f t="shared" si="292"/>
        <v>@CecilioCastro</v>
      </c>
      <c r="C1594" s="8" t="s">
        <v>2809</v>
      </c>
      <c r="D1594" s="9" t="s">
        <v>5694</v>
      </c>
      <c r="E1594" s="10" t="str">
        <f>HYPERLINK("https://twitter.com/CecilioCastro/status/1064582339035041795","1064582339035041795")</f>
        <v>1064582339035041795</v>
      </c>
      <c r="F1594" s="12"/>
      <c r="G1594" s="12"/>
      <c r="H1594" s="12"/>
      <c r="I1594" s="13">
        <v>1</v>
      </c>
      <c r="J1594" s="13">
        <v>0</v>
      </c>
      <c r="K1594" s="14" t="str">
        <f t="shared" si="293"/>
        <v>Twitter for iPhone</v>
      </c>
      <c r="L1594" s="13">
        <v>12761</v>
      </c>
      <c r="M1594" s="13">
        <v>13343</v>
      </c>
      <c r="N1594" s="13">
        <v>154</v>
      </c>
      <c r="O1594" s="15"/>
      <c r="P1594" s="6">
        <v>40830.480543981481</v>
      </c>
      <c r="Q1594" s="17" t="s">
        <v>2814</v>
      </c>
      <c r="R1594" s="16" t="s">
        <v>2815</v>
      </c>
      <c r="S1594" s="11" t="s">
        <v>2816</v>
      </c>
      <c r="T1594" s="12"/>
      <c r="U1594" s="10" t="str">
        <f t="shared" si="294"/>
        <v>View</v>
      </c>
    </row>
    <row r="1595" spans="1:21" ht="20.399999999999999">
      <c r="A1595" s="6">
        <v>43423.425162037034</v>
      </c>
      <c r="B1595" s="7" t="str">
        <f>HYPERLINK("https://twitter.com/joseantoniope7","@joseantoniope7")</f>
        <v>@joseantoniope7</v>
      </c>
      <c r="C1595" s="8" t="s">
        <v>4151</v>
      </c>
      <c r="D1595" s="9" t="s">
        <v>4152</v>
      </c>
      <c r="E1595" s="10" t="str">
        <f>HYPERLINK("https://twitter.com/joseantoniope7/status/1064582133656838145","1064582133656838145")</f>
        <v>1064582133656838145</v>
      </c>
      <c r="F1595" s="11" t="s">
        <v>5695</v>
      </c>
      <c r="G1595" s="12"/>
      <c r="H1595" s="12"/>
      <c r="I1595" s="13">
        <v>0</v>
      </c>
      <c r="J1595" s="13">
        <v>0</v>
      </c>
      <c r="K1595" s="14" t="str">
        <f>HYPERLINK("http://twitter.com","Twitter Web Client")</f>
        <v>Twitter Web Client</v>
      </c>
      <c r="L1595" s="13">
        <v>712</v>
      </c>
      <c r="M1595" s="13">
        <v>1983</v>
      </c>
      <c r="N1595" s="13">
        <v>0</v>
      </c>
      <c r="O1595" s="15"/>
      <c r="P1595" s="6">
        <v>43139.443483796298</v>
      </c>
      <c r="Q1595" s="17" t="s">
        <v>4154</v>
      </c>
      <c r="R1595" s="18"/>
      <c r="S1595" s="12"/>
      <c r="T1595" s="12"/>
      <c r="U1595" s="10" t="str">
        <f>HYPERLINK("https://pbs.twimg.com/profile_images/961680432218681344/v8phrPeB.jpg","View")</f>
        <v>View</v>
      </c>
    </row>
    <row r="1596" spans="1:21" ht="51">
      <c r="A1596" s="6">
        <v>43423.424131944441</v>
      </c>
      <c r="B1596" s="7" t="str">
        <f>HYPERLINK("https://twitter.com/CecilioCastro","@CecilioCastro")</f>
        <v>@CecilioCastro</v>
      </c>
      <c r="C1596" s="8" t="s">
        <v>2809</v>
      </c>
      <c r="D1596" s="9" t="s">
        <v>5696</v>
      </c>
      <c r="E1596" s="10" t="str">
        <f>HYPERLINK("https://twitter.com/CecilioCastro/status/1064581762221789184","1064581762221789184")</f>
        <v>1064581762221789184</v>
      </c>
      <c r="F1596" s="12"/>
      <c r="G1596" s="12"/>
      <c r="H1596" s="12"/>
      <c r="I1596" s="13">
        <v>7</v>
      </c>
      <c r="J1596" s="13">
        <v>2</v>
      </c>
      <c r="K1596" s="14" t="str">
        <f>HYPERLINK("http://twitter.com/download/iphone","Twitter for iPhone")</f>
        <v>Twitter for iPhone</v>
      </c>
      <c r="L1596" s="13">
        <v>12761</v>
      </c>
      <c r="M1596" s="13">
        <v>13343</v>
      </c>
      <c r="N1596" s="13">
        <v>154</v>
      </c>
      <c r="O1596" s="15"/>
      <c r="P1596" s="6">
        <v>40830.480543981481</v>
      </c>
      <c r="Q1596" s="17" t="s">
        <v>2814</v>
      </c>
      <c r="R1596" s="16" t="s">
        <v>2815</v>
      </c>
      <c r="S1596" s="11" t="s">
        <v>2816</v>
      </c>
      <c r="T1596" s="12"/>
      <c r="U1596" s="10" t="str">
        <f>HYPERLINK("https://pbs.twimg.com/profile_images/1033024985697267712/2ldOzQJi.jpg","View")</f>
        <v>View</v>
      </c>
    </row>
    <row r="1597" spans="1:21" ht="30.6">
      <c r="A1597" s="6">
        <v>43423.423182870371</v>
      </c>
      <c r="B1597" s="7" t="str">
        <f>HYPERLINK("https://twitter.com/Anoncan","@Anoncan")</f>
        <v>@Anoncan</v>
      </c>
      <c r="C1597" s="8" t="s">
        <v>5697</v>
      </c>
      <c r="D1597" s="9" t="s">
        <v>5698</v>
      </c>
      <c r="E1597" s="10" t="str">
        <f>HYPERLINK("https://twitter.com/Anoncan/status/1064581416749539334","1064581416749539334")</f>
        <v>1064581416749539334</v>
      </c>
      <c r="F1597" s="11" t="s">
        <v>5699</v>
      </c>
      <c r="G1597" s="12"/>
      <c r="H1597" s="12"/>
      <c r="I1597" s="13">
        <v>0</v>
      </c>
      <c r="J1597" s="13">
        <v>0</v>
      </c>
      <c r="K1597" s="14" t="str">
        <f>HYPERLINK("http://twitter.com","Twitter Web Client")</f>
        <v>Twitter Web Client</v>
      </c>
      <c r="L1597" s="13">
        <v>3187</v>
      </c>
      <c r="M1597" s="13">
        <v>3142</v>
      </c>
      <c r="N1597" s="13">
        <v>52</v>
      </c>
      <c r="O1597" s="15"/>
      <c r="P1597" s="6">
        <v>40257.143877314811</v>
      </c>
      <c r="Q1597" s="17" t="s">
        <v>29</v>
      </c>
      <c r="R1597" s="16" t="s">
        <v>5700</v>
      </c>
      <c r="S1597" s="12"/>
      <c r="T1597" s="12"/>
      <c r="U1597" s="10" t="str">
        <f>HYPERLINK("https://pbs.twimg.com/profile_images/637722883238850560/7ps5991E.jpg","View")</f>
        <v>View</v>
      </c>
    </row>
    <row r="1598" spans="1:21" ht="51">
      <c r="A1598" s="6">
        <v>43423.422662037032</v>
      </c>
      <c r="B1598" s="7" t="str">
        <f>HYPERLINK("https://twitter.com/CecilioCastro","@CecilioCastro")</f>
        <v>@CecilioCastro</v>
      </c>
      <c r="C1598" s="8" t="s">
        <v>2809</v>
      </c>
      <c r="D1598" s="9" t="s">
        <v>5701</v>
      </c>
      <c r="E1598" s="10" t="str">
        <f>HYPERLINK("https://twitter.com/CecilioCastro/status/1064581228173684736","1064581228173684736")</f>
        <v>1064581228173684736</v>
      </c>
      <c r="F1598" s="12"/>
      <c r="G1598" s="12"/>
      <c r="H1598" s="12"/>
      <c r="I1598" s="13">
        <v>3</v>
      </c>
      <c r="J1598" s="13">
        <v>3</v>
      </c>
      <c r="K1598" s="14" t="str">
        <f>HYPERLINK("http://twitter.com/download/iphone","Twitter for iPhone")</f>
        <v>Twitter for iPhone</v>
      </c>
      <c r="L1598" s="13">
        <v>12761</v>
      </c>
      <c r="M1598" s="13">
        <v>13343</v>
      </c>
      <c r="N1598" s="13">
        <v>154</v>
      </c>
      <c r="O1598" s="15"/>
      <c r="P1598" s="6">
        <v>40830.480543981481</v>
      </c>
      <c r="Q1598" s="17" t="s">
        <v>2814</v>
      </c>
      <c r="R1598" s="16" t="s">
        <v>2815</v>
      </c>
      <c r="S1598" s="11" t="s">
        <v>2816</v>
      </c>
      <c r="T1598" s="12"/>
      <c r="U1598" s="10" t="str">
        <f>HYPERLINK("https://pbs.twimg.com/profile_images/1033024985697267712/2ldOzQJi.jpg","View")</f>
        <v>View</v>
      </c>
    </row>
    <row r="1599" spans="1:21" ht="20.399999999999999">
      <c r="A1599" s="6">
        <v>43423.418321759258</v>
      </c>
      <c r="B1599" s="7" t="str">
        <f>HYPERLINK("https://twitter.com/Jose_MDelgado","@Jose_MDelgado")</f>
        <v>@Jose_MDelgado</v>
      </c>
      <c r="C1599" s="8" t="s">
        <v>5702</v>
      </c>
      <c r="D1599" s="9" t="s">
        <v>5703</v>
      </c>
      <c r="E1599" s="10" t="str">
        <f>HYPERLINK("https://twitter.com/Jose_MDelgado/status/1064579655498416128","1064579655498416128")</f>
        <v>1064579655498416128</v>
      </c>
      <c r="F1599" s="12"/>
      <c r="G1599" s="12"/>
      <c r="H1599" s="12"/>
      <c r="I1599" s="13">
        <v>0</v>
      </c>
      <c r="J1599" s="13">
        <v>0</v>
      </c>
      <c r="K1599" s="14" t="str">
        <f>HYPERLINK("http://twitter.com/download/android","Twitter for Android")</f>
        <v>Twitter for Android</v>
      </c>
      <c r="L1599" s="13">
        <v>59</v>
      </c>
      <c r="M1599" s="13">
        <v>134</v>
      </c>
      <c r="N1599" s="13">
        <v>0</v>
      </c>
      <c r="O1599" s="15"/>
      <c r="P1599" s="6">
        <v>43044.256574074076</v>
      </c>
      <c r="Q1599" s="17" t="s">
        <v>160</v>
      </c>
      <c r="R1599" s="16" t="s">
        <v>5704</v>
      </c>
      <c r="S1599" s="11" t="s">
        <v>5705</v>
      </c>
      <c r="T1599" s="12"/>
      <c r="U1599" s="10" t="str">
        <f>HYPERLINK("https://pbs.twimg.com/profile_images/1064205839173599232/I0NEp663.jpg","View")</f>
        <v>View</v>
      </c>
    </row>
    <row r="1600" spans="1:21" ht="40.799999999999997">
      <c r="A1600" s="6">
        <v>43423.416666666672</v>
      </c>
      <c r="B1600" s="7" t="str">
        <f>HYPERLINK("https://twitter.com/El_Plural","@El_Plural")</f>
        <v>@El_Plural</v>
      </c>
      <c r="C1600" s="8" t="s">
        <v>2227</v>
      </c>
      <c r="D1600" s="9" t="s">
        <v>5706</v>
      </c>
      <c r="E1600" s="10" t="str">
        <f>HYPERLINK("https://twitter.com/El_Plural/status/1064579056056684544","1064579056056684544")</f>
        <v>1064579056056684544</v>
      </c>
      <c r="F1600" s="11" t="s">
        <v>5707</v>
      </c>
      <c r="G1600" s="12"/>
      <c r="H1600" s="12"/>
      <c r="I1600" s="13">
        <v>7</v>
      </c>
      <c r="J1600" s="13">
        <v>2</v>
      </c>
      <c r="K1600" s="14" t="str">
        <f>HYPERLINK("https://about.twitter.com/products/tweetdeck","TweetDeck")</f>
        <v>TweetDeck</v>
      </c>
      <c r="L1600" s="13">
        <v>71889</v>
      </c>
      <c r="M1600" s="13">
        <v>1644</v>
      </c>
      <c r="N1600" s="13">
        <v>2012</v>
      </c>
      <c r="O1600" s="15"/>
      <c r="P1600" s="6">
        <v>40351.13553240741</v>
      </c>
      <c r="Q1600" s="17" t="s">
        <v>29</v>
      </c>
      <c r="R1600" s="16" t="s">
        <v>2229</v>
      </c>
      <c r="S1600" s="11" t="s">
        <v>2230</v>
      </c>
      <c r="T1600" s="12"/>
      <c r="U1600" s="10" t="str">
        <f>HYPERLINK("https://pbs.twimg.com/profile_images/1017707018138857473/kUt8X2tn.jpg","View")</f>
        <v>View</v>
      </c>
    </row>
    <row r="1601" spans="1:21" ht="40.799999999999997">
      <c r="A1601" s="6">
        <v>43423.416481481487</v>
      </c>
      <c r="B1601" s="7" t="str">
        <f>HYPERLINK("https://twitter.com/carlos_hem","@carlos_hem")</f>
        <v>@carlos_hem</v>
      </c>
      <c r="C1601" s="8" t="s">
        <v>5708</v>
      </c>
      <c r="D1601" s="9" t="s">
        <v>5709</v>
      </c>
      <c r="E1601" s="10" t="str">
        <f>HYPERLINK("https://twitter.com/carlos_hem/status/1064578990172712960","1064578990172712960")</f>
        <v>1064578990172712960</v>
      </c>
      <c r="F1601" s="12"/>
      <c r="G1601" s="11" t="s">
        <v>5710</v>
      </c>
      <c r="H1601" s="12"/>
      <c r="I1601" s="13">
        <v>0</v>
      </c>
      <c r="J1601" s="13">
        <v>4</v>
      </c>
      <c r="K1601" s="14" t="str">
        <f>HYPERLINK("http://twitter.com","Twitter Web Client")</f>
        <v>Twitter Web Client</v>
      </c>
      <c r="L1601" s="13">
        <v>3358</v>
      </c>
      <c r="M1601" s="13">
        <v>2278</v>
      </c>
      <c r="N1601" s="13">
        <v>99</v>
      </c>
      <c r="O1601" s="15"/>
      <c r="P1601" s="6">
        <v>40259.367534722223</v>
      </c>
      <c r="Q1601" s="12"/>
      <c r="R1601" s="16" t="s">
        <v>5711</v>
      </c>
      <c r="S1601" s="11" t="s">
        <v>5712</v>
      </c>
      <c r="T1601" s="12"/>
      <c r="U1601" s="10" t="str">
        <f>HYPERLINK("https://pbs.twimg.com/profile_images/843205616256630784/he0TUIis.jpg","View")</f>
        <v>View</v>
      </c>
    </row>
    <row r="1602" spans="1:21" ht="40.799999999999997">
      <c r="A1602" s="6">
        <v>43423.415625000001</v>
      </c>
      <c r="B1602" s="7" t="str">
        <f>HYPERLINK("https://twitter.com/Andoni_Leon","@Andoni_Leon")</f>
        <v>@Andoni_Leon</v>
      </c>
      <c r="C1602" s="8" t="s">
        <v>5713</v>
      </c>
      <c r="D1602" s="9" t="s">
        <v>5714</v>
      </c>
      <c r="E1602" s="10" t="str">
        <f>HYPERLINK("https://twitter.com/Andoni_Leon/status/1064578676514324481","1064578676514324481")</f>
        <v>1064578676514324481</v>
      </c>
      <c r="F1602" s="11" t="s">
        <v>5715</v>
      </c>
      <c r="G1602" s="12"/>
      <c r="H1602" s="12"/>
      <c r="I1602" s="13">
        <v>0</v>
      </c>
      <c r="J1602" s="13">
        <v>0</v>
      </c>
      <c r="K1602" s="14" t="str">
        <f t="shared" ref="K1602:K1603" si="295">HYPERLINK("http://twitter.com/download/android","Twitter for Android")</f>
        <v>Twitter for Android</v>
      </c>
      <c r="L1602" s="13">
        <v>826</v>
      </c>
      <c r="M1602" s="13">
        <v>1063</v>
      </c>
      <c r="N1602" s="13">
        <v>20</v>
      </c>
      <c r="O1602" s="15"/>
      <c r="P1602" s="6">
        <v>40827.602997685186</v>
      </c>
      <c r="Q1602" s="17" t="s">
        <v>5716</v>
      </c>
      <c r="R1602" s="16" t="s">
        <v>5717</v>
      </c>
      <c r="S1602" s="12"/>
      <c r="T1602" s="12"/>
      <c r="U1602" s="10" t="str">
        <f>HYPERLINK("https://pbs.twimg.com/profile_images/998123061760090112/TF-KO1De.jpg","View")</f>
        <v>View</v>
      </c>
    </row>
    <row r="1603" spans="1:21" ht="40.799999999999997">
      <c r="A1603" s="6">
        <v>43423.415439814809</v>
      </c>
      <c r="B1603" s="7" t="str">
        <f>HYPERLINK("https://twitter.com/EsteponaNngg","@EsteponaNngg")</f>
        <v>@EsteponaNngg</v>
      </c>
      <c r="C1603" s="8" t="s">
        <v>5718</v>
      </c>
      <c r="D1603" s="9" t="s">
        <v>5719</v>
      </c>
      <c r="E1603" s="10" t="str">
        <f>HYPERLINK("https://twitter.com/EsteponaNngg/status/1064578611255095297","1064578611255095297")</f>
        <v>1064578611255095297</v>
      </c>
      <c r="F1603" s="12"/>
      <c r="G1603" s="11" t="s">
        <v>5720</v>
      </c>
      <c r="H1603" s="12"/>
      <c r="I1603" s="13">
        <v>0</v>
      </c>
      <c r="J1603" s="13">
        <v>0</v>
      </c>
      <c r="K1603" s="14" t="str">
        <f t="shared" si="295"/>
        <v>Twitter for Android</v>
      </c>
      <c r="L1603" s="13">
        <v>77</v>
      </c>
      <c r="M1603" s="13">
        <v>212</v>
      </c>
      <c r="N1603" s="13">
        <v>0</v>
      </c>
      <c r="O1603" s="15"/>
      <c r="P1603" s="6">
        <v>43393.336354166662</v>
      </c>
      <c r="Q1603" s="17" t="s">
        <v>5721</v>
      </c>
      <c r="R1603" s="16" t="s">
        <v>5722</v>
      </c>
      <c r="S1603" s="11" t="s">
        <v>5723</v>
      </c>
      <c r="T1603" s="12"/>
      <c r="U1603" s="10" t="str">
        <f>HYPERLINK("https://pbs.twimg.com/profile_images/1053667396106498049/4mXDVuHF.jpg","View")</f>
        <v>View</v>
      </c>
    </row>
    <row r="1604" spans="1:21" ht="40.799999999999997">
      <c r="A1604" s="6">
        <v>43423.415266203709</v>
      </c>
      <c r="B1604" s="7" t="str">
        <f>HYPERLINK("https://twitter.com/orto1941","@orto1941")</f>
        <v>@orto1941</v>
      </c>
      <c r="C1604" s="8" t="s">
        <v>5724</v>
      </c>
      <c r="D1604" s="9" t="s">
        <v>5725</v>
      </c>
      <c r="E1604" s="10" t="str">
        <f>HYPERLINK("https://twitter.com/orto1941/status/1064578546314686464","1064578546314686464")</f>
        <v>1064578546314686464</v>
      </c>
      <c r="F1604" s="12"/>
      <c r="G1604" s="11" t="s">
        <v>5726</v>
      </c>
      <c r="H1604" s="12"/>
      <c r="I1604" s="13">
        <v>330</v>
      </c>
      <c r="J1604" s="13">
        <v>385</v>
      </c>
      <c r="K1604" s="14" t="str">
        <f>HYPERLINK("http://twitter.com","Twitter Web Client")</f>
        <v>Twitter Web Client</v>
      </c>
      <c r="L1604" s="13">
        <v>12007</v>
      </c>
      <c r="M1604" s="13">
        <v>9110</v>
      </c>
      <c r="N1604" s="13">
        <v>65</v>
      </c>
      <c r="O1604" s="15"/>
      <c r="P1604" s="6">
        <v>41889.128020833334</v>
      </c>
      <c r="Q1604" s="12"/>
      <c r="R1604" s="16" t="s">
        <v>5727</v>
      </c>
      <c r="S1604" s="11" t="s">
        <v>5728</v>
      </c>
      <c r="T1604" s="12"/>
      <c r="U1604" s="10" t="str">
        <f>HYPERLINK("https://pbs.twimg.com/profile_images/918460342975565824/nErz_vkB.jpg","View")</f>
        <v>View</v>
      </c>
    </row>
    <row r="1605" spans="1:21" ht="30.6">
      <c r="A1605" s="6">
        <v>43423.407442129625</v>
      </c>
      <c r="B1605" s="7" t="str">
        <f>HYPERLINK("https://twitter.com/CharoBrioso","@CharoBrioso")</f>
        <v>@CharoBrioso</v>
      </c>
      <c r="C1605" s="8" t="s">
        <v>5729</v>
      </c>
      <c r="D1605" s="9" t="s">
        <v>5730</v>
      </c>
      <c r="E1605" s="10" t="str">
        <f>HYPERLINK("https://twitter.com/CharoBrioso/status/1064575712491945984","1064575712491945984")</f>
        <v>1064575712491945984</v>
      </c>
      <c r="F1605" s="12"/>
      <c r="G1605" s="12"/>
      <c r="H1605" s="12"/>
      <c r="I1605" s="13">
        <v>0</v>
      </c>
      <c r="J1605" s="13">
        <v>0</v>
      </c>
      <c r="K1605" s="14" t="str">
        <f>HYPERLINK("http://twitter.com/download/android","Twitter for Android")</f>
        <v>Twitter for Android</v>
      </c>
      <c r="L1605" s="13">
        <v>41</v>
      </c>
      <c r="M1605" s="13">
        <v>338</v>
      </c>
      <c r="N1605" s="13">
        <v>0</v>
      </c>
      <c r="O1605" s="15"/>
      <c r="P1605" s="6">
        <v>41137.374976851854</v>
      </c>
      <c r="Q1605" s="12"/>
      <c r="R1605" s="18"/>
      <c r="S1605" s="12"/>
      <c r="T1605" s="12"/>
      <c r="U1605" s="10" t="str">
        <f>HYPERLINK("https://pbs.twimg.com/profile_images/765564576104579072/TmlekpWq.jpg","View")</f>
        <v>View</v>
      </c>
    </row>
    <row r="1606" spans="1:21" ht="40.799999999999997">
      <c r="A1606" s="6">
        <v>43423.404664351852</v>
      </c>
      <c r="B1606" s="7" t="str">
        <f>HYPERLINK("https://twitter.com/SoyDonNadie","@SoyDonNadie")</f>
        <v>@SoyDonNadie</v>
      </c>
      <c r="C1606" s="8" t="s">
        <v>4795</v>
      </c>
      <c r="D1606" s="9" t="s">
        <v>5731</v>
      </c>
      <c r="E1606" s="10" t="str">
        <f>HYPERLINK("https://twitter.com/SoyDonNadie/status/1064574705384996864","1064574705384996864")</f>
        <v>1064574705384996864</v>
      </c>
      <c r="F1606" s="11" t="s">
        <v>5732</v>
      </c>
      <c r="G1606" s="12"/>
      <c r="H1606" s="12"/>
      <c r="I1606" s="13">
        <v>0</v>
      </c>
      <c r="J1606" s="13">
        <v>0</v>
      </c>
      <c r="K1606" s="14" t="str">
        <f>HYPERLINK("http://www.facebook.com/twitter","Facebook")</f>
        <v>Facebook</v>
      </c>
      <c r="L1606" s="13">
        <v>929</v>
      </c>
      <c r="M1606" s="13">
        <v>2255</v>
      </c>
      <c r="N1606" s="13">
        <v>14</v>
      </c>
      <c r="O1606" s="15"/>
      <c r="P1606" s="6">
        <v>40546.582303240742</v>
      </c>
      <c r="Q1606" s="17" t="s">
        <v>76</v>
      </c>
      <c r="R1606" s="16" t="s">
        <v>4797</v>
      </c>
      <c r="S1606" s="11" t="s">
        <v>4798</v>
      </c>
      <c r="T1606" s="12"/>
      <c r="U1606" s="10" t="str">
        <f>HYPERLINK("https://pbs.twimg.com/profile_images/1900771571/Don_2520Nadie.JPG","View")</f>
        <v>View</v>
      </c>
    </row>
    <row r="1607" spans="1:21" ht="40.799999999999997">
      <c r="A1607" s="6">
        <v>43423.403645833328</v>
      </c>
      <c r="B1607" s="7" t="str">
        <f>HYPERLINK("https://twitter.com/JOSEMANUELMAR52","@JOSEMANUELMAR52")</f>
        <v>@JOSEMANUELMAR52</v>
      </c>
      <c r="C1607" s="8" t="s">
        <v>5733</v>
      </c>
      <c r="D1607" s="9" t="s">
        <v>5734</v>
      </c>
      <c r="E1607" s="10" t="str">
        <f>HYPERLINK("https://twitter.com/JOSEMANUELMAR52/status/1064574338756689922","1064574338756689922")</f>
        <v>1064574338756689922</v>
      </c>
      <c r="F1607" s="11" t="s">
        <v>4961</v>
      </c>
      <c r="G1607" s="12"/>
      <c r="H1607" s="12"/>
      <c r="I1607" s="13">
        <v>0</v>
      </c>
      <c r="J1607" s="13">
        <v>0</v>
      </c>
      <c r="K1607" s="14" t="str">
        <f>HYPERLINK("http://twitter.com","Twitter Web Client")</f>
        <v>Twitter Web Client</v>
      </c>
      <c r="L1607" s="13">
        <v>226</v>
      </c>
      <c r="M1607" s="13">
        <v>209</v>
      </c>
      <c r="N1607" s="13">
        <v>16</v>
      </c>
      <c r="O1607" s="15"/>
      <c r="P1607" s="6">
        <v>40855.482349537036</v>
      </c>
      <c r="Q1607" s="17" t="s">
        <v>5735</v>
      </c>
      <c r="R1607" s="16" t="s">
        <v>5736</v>
      </c>
      <c r="S1607" s="12"/>
      <c r="T1607" s="12"/>
      <c r="U1607" s="10" t="str">
        <f>HYPERLINK("https://pbs.twimg.com/profile_images/640601352285110272/21SuhHp_.jpg","View")</f>
        <v>View</v>
      </c>
    </row>
    <row r="1608" spans="1:21" ht="51">
      <c r="A1608" s="6">
        <v>43423.403449074074</v>
      </c>
      <c r="B1608" s="7" t="str">
        <f>HYPERLINK("https://twitter.com/VidalQuadras","@VidalQuadras")</f>
        <v>@VidalQuadras</v>
      </c>
      <c r="C1608" s="8" t="s">
        <v>4970</v>
      </c>
      <c r="D1608" s="9" t="s">
        <v>5737</v>
      </c>
      <c r="E1608" s="10" t="str">
        <f>HYPERLINK("https://twitter.com/VidalQuadras/status/1064574267596120064","1064574267596120064")</f>
        <v>1064574267596120064</v>
      </c>
      <c r="F1608" s="12"/>
      <c r="G1608" s="12"/>
      <c r="H1608" s="12"/>
      <c r="I1608" s="13">
        <v>38</v>
      </c>
      <c r="J1608" s="13">
        <v>82</v>
      </c>
      <c r="K1608" s="14" t="str">
        <f>HYPERLINK("http://twitter.com/download/iphone","Twitter for iPhone")</f>
        <v>Twitter for iPhone</v>
      </c>
      <c r="L1608" s="13">
        <v>65846</v>
      </c>
      <c r="M1608" s="13">
        <v>731</v>
      </c>
      <c r="N1608" s="13">
        <v>624</v>
      </c>
      <c r="O1608" s="15"/>
      <c r="P1608" s="6">
        <v>40372.11209490741</v>
      </c>
      <c r="Q1608" s="17" t="s">
        <v>143</v>
      </c>
      <c r="R1608" s="16" t="s">
        <v>4972</v>
      </c>
      <c r="S1608" s="12"/>
      <c r="T1608" s="12"/>
      <c r="U1608" s="10" t="str">
        <f>HYPERLINK("https://pbs.twimg.com/profile_images/456353136148377601/j9IsCOnt.jpeg","View")</f>
        <v>View</v>
      </c>
    </row>
    <row r="1609" spans="1:21" ht="20.399999999999999">
      <c r="A1609" s="6">
        <v>43423.399155092593</v>
      </c>
      <c r="B1609" s="7" t="str">
        <f>HYPERLINK("https://twitter.com/bandolerochato","@bandolerochato")</f>
        <v>@bandolerochato</v>
      </c>
      <c r="C1609" s="8" t="s">
        <v>1768</v>
      </c>
      <c r="D1609" s="9" t="s">
        <v>5738</v>
      </c>
      <c r="E1609" s="10" t="str">
        <f>HYPERLINK("https://twitter.com/bandolerochato/status/1064572709059858432","1064572709059858432")</f>
        <v>1064572709059858432</v>
      </c>
      <c r="F1609" s="12"/>
      <c r="G1609" s="12"/>
      <c r="H1609" s="12"/>
      <c r="I1609" s="13">
        <v>0</v>
      </c>
      <c r="J1609" s="13">
        <v>0</v>
      </c>
      <c r="K1609" s="14" t="str">
        <f>HYPERLINK("http://twitter.com","Twitter Web Client")</f>
        <v>Twitter Web Client</v>
      </c>
      <c r="L1609" s="13">
        <v>624</v>
      </c>
      <c r="M1609" s="13">
        <v>1224</v>
      </c>
      <c r="N1609" s="13">
        <v>2</v>
      </c>
      <c r="O1609" s="15"/>
      <c r="P1609" s="6">
        <v>41331.411111111112</v>
      </c>
      <c r="Q1609" s="12"/>
      <c r="R1609" s="18"/>
      <c r="S1609" s="12"/>
      <c r="T1609" s="12"/>
      <c r="U1609" s="10" t="str">
        <f>HYPERLINK("https://pbs.twimg.com/profile_images/3311607511/c5d8c6c3cc019abcc10619ed8701dc16.jpeg","View")</f>
        <v>View</v>
      </c>
    </row>
    <row r="1610" spans="1:21" ht="40.799999999999997">
      <c r="A1610" s="6">
        <v>43423.397222222222</v>
      </c>
      <c r="B1610" s="7" t="str">
        <f t="shared" ref="B1610:B1611" si="296">HYPERLINK("https://twitter.com/Abogado_WTorres","@Abogado_WTorres")</f>
        <v>@Abogado_WTorres</v>
      </c>
      <c r="C1610" s="8" t="s">
        <v>2051</v>
      </c>
      <c r="D1610" s="9" t="s">
        <v>5739</v>
      </c>
      <c r="E1610" s="10" t="str">
        <f>HYPERLINK("https://twitter.com/Abogado_WTorres/status/1064572009408094209","1064572009408094209")</f>
        <v>1064572009408094209</v>
      </c>
      <c r="F1610" s="11" t="s">
        <v>5740</v>
      </c>
      <c r="G1610" s="12"/>
      <c r="H1610" s="12"/>
      <c r="I1610" s="13">
        <v>0</v>
      </c>
      <c r="J1610" s="13">
        <v>0</v>
      </c>
      <c r="K1610" s="14" t="str">
        <f t="shared" ref="K1610:K1611" si="297">HYPERLINK("http://www.facebook.com/twitter","Facebook")</f>
        <v>Facebook</v>
      </c>
      <c r="L1610" s="13">
        <v>350</v>
      </c>
      <c r="M1610" s="13">
        <v>395</v>
      </c>
      <c r="N1610" s="13">
        <v>1</v>
      </c>
      <c r="O1610" s="15"/>
      <c r="P1610" s="6">
        <v>40983.019050925926</v>
      </c>
      <c r="Q1610" s="17" t="s">
        <v>29</v>
      </c>
      <c r="R1610" s="16" t="s">
        <v>2054</v>
      </c>
      <c r="S1610" s="12"/>
      <c r="T1610" s="12"/>
      <c r="U1610" s="10" t="str">
        <f t="shared" ref="U1610:U1611" si="298">HYPERLINK("https://pbs.twimg.com/profile_images/712090737442217984/fi60dQ-V.jpg","View")</f>
        <v>View</v>
      </c>
    </row>
    <row r="1611" spans="1:21" ht="40.799999999999997">
      <c r="A1611" s="6">
        <v>43423.396284722221</v>
      </c>
      <c r="B1611" s="7" t="str">
        <f t="shared" si="296"/>
        <v>@Abogado_WTorres</v>
      </c>
      <c r="C1611" s="8" t="s">
        <v>2051</v>
      </c>
      <c r="D1611" s="9" t="s">
        <v>5739</v>
      </c>
      <c r="E1611" s="10" t="str">
        <f>HYPERLINK("https://twitter.com/Abogado_WTorres/status/1064571667953922051","1064571667953922051")</f>
        <v>1064571667953922051</v>
      </c>
      <c r="F1611" s="11" t="s">
        <v>5741</v>
      </c>
      <c r="G1611" s="12"/>
      <c r="H1611" s="12"/>
      <c r="I1611" s="13">
        <v>0</v>
      </c>
      <c r="J1611" s="13">
        <v>0</v>
      </c>
      <c r="K1611" s="14" t="str">
        <f t="shared" si="297"/>
        <v>Facebook</v>
      </c>
      <c r="L1611" s="13">
        <v>350</v>
      </c>
      <c r="M1611" s="13">
        <v>395</v>
      </c>
      <c r="N1611" s="13">
        <v>1</v>
      </c>
      <c r="O1611" s="15"/>
      <c r="P1611" s="6">
        <v>40983.019050925926</v>
      </c>
      <c r="Q1611" s="17" t="s">
        <v>29</v>
      </c>
      <c r="R1611" s="16" t="s">
        <v>2054</v>
      </c>
      <c r="S1611" s="12"/>
      <c r="T1611" s="12"/>
      <c r="U1611" s="10" t="str">
        <f t="shared" si="298"/>
        <v>View</v>
      </c>
    </row>
    <row r="1612" spans="1:21" ht="20.399999999999999">
      <c r="A1612" s="6">
        <v>43423.392604166671</v>
      </c>
      <c r="B1612" s="7" t="str">
        <f>HYPERLINK("https://twitter.com/castellanapura","@castellanapura")</f>
        <v>@castellanapura</v>
      </c>
      <c r="C1612" s="8" t="s">
        <v>1735</v>
      </c>
      <c r="D1612" s="9" t="s">
        <v>4800</v>
      </c>
      <c r="E1612" s="10" t="str">
        <f>HYPERLINK("https://twitter.com/castellanapura/status/1064570334215467010","1064570334215467010")</f>
        <v>1064570334215467010</v>
      </c>
      <c r="F1612" s="11" t="s">
        <v>320</v>
      </c>
      <c r="G1612" s="12"/>
      <c r="H1612" s="12"/>
      <c r="I1612" s="13">
        <v>3</v>
      </c>
      <c r="J1612" s="13">
        <v>2</v>
      </c>
      <c r="K1612" s="14" t="str">
        <f t="shared" ref="K1612:K1614" si="299">HYPERLINK("http://twitter.com","Twitter Web Client")</f>
        <v>Twitter Web Client</v>
      </c>
      <c r="L1612" s="13">
        <v>2271</v>
      </c>
      <c r="M1612" s="13">
        <v>3970</v>
      </c>
      <c r="N1612" s="13">
        <v>98</v>
      </c>
      <c r="O1612" s="15"/>
      <c r="P1612" s="6">
        <v>41264.145324074074</v>
      </c>
      <c r="Q1612" s="12"/>
      <c r="R1612" s="16" t="s">
        <v>1736</v>
      </c>
      <c r="S1612" s="12"/>
      <c r="T1612" s="12"/>
      <c r="U1612" s="10" t="str">
        <f>HYPERLINK("https://pbs.twimg.com/profile_images/999929581233754112/1NA6LUp0.jpg","View")</f>
        <v>View</v>
      </c>
    </row>
    <row r="1613" spans="1:21" ht="51">
      <c r="A1613" s="6">
        <v>43423.390949074077</v>
      </c>
      <c r="B1613" s="7" t="str">
        <f>HYPERLINK("https://twitter.com/susodapedra","@susodapedra")</f>
        <v>@susodapedra</v>
      </c>
      <c r="C1613" s="8" t="s">
        <v>5742</v>
      </c>
      <c r="D1613" s="9" t="s">
        <v>5743</v>
      </c>
      <c r="E1613" s="10" t="str">
        <f>HYPERLINK("https://twitter.com/susodapedra/status/1064569736493699073","1064569736493699073")</f>
        <v>1064569736493699073</v>
      </c>
      <c r="F1613" s="12"/>
      <c r="G1613" s="12"/>
      <c r="H1613" s="12"/>
      <c r="I1613" s="13">
        <v>0</v>
      </c>
      <c r="J1613" s="13">
        <v>2</v>
      </c>
      <c r="K1613" s="14" t="str">
        <f t="shared" si="299"/>
        <v>Twitter Web Client</v>
      </c>
      <c r="L1613" s="13">
        <v>293</v>
      </c>
      <c r="M1613" s="13">
        <v>878</v>
      </c>
      <c r="N1613" s="13">
        <v>8</v>
      </c>
      <c r="O1613" s="15"/>
      <c r="P1613" s="6">
        <v>40974.636296296296</v>
      </c>
      <c r="Q1613" s="12"/>
      <c r="R1613" s="16" t="s">
        <v>5744</v>
      </c>
      <c r="S1613" s="12"/>
      <c r="T1613" s="12"/>
      <c r="U1613" s="10" t="str">
        <f>HYPERLINK("https://pbs.twimg.com/profile_images/1877958655/escudo_de_la_Real_recortado.jpg","View")</f>
        <v>View</v>
      </c>
    </row>
    <row r="1614" spans="1:21" ht="51">
      <c r="A1614" s="6">
        <v>43423.390138888892</v>
      </c>
      <c r="B1614" s="7" t="str">
        <f>HYPERLINK("https://twitter.com/Periodismoporfa","@Periodismoporfa")</f>
        <v>@Periodismoporfa</v>
      </c>
      <c r="C1614" s="8" t="s">
        <v>1788</v>
      </c>
      <c r="D1614" s="9" t="s">
        <v>5745</v>
      </c>
      <c r="E1614" s="10" t="str">
        <f>HYPERLINK("https://twitter.com/Periodismoporfa/status/1064569440707186688","1064569440707186688")</f>
        <v>1064569440707186688</v>
      </c>
      <c r="F1614" s="12"/>
      <c r="G1614" s="11" t="s">
        <v>5746</v>
      </c>
      <c r="H1614" s="12"/>
      <c r="I1614" s="13">
        <v>0</v>
      </c>
      <c r="J1614" s="13">
        <v>1</v>
      </c>
      <c r="K1614" s="14" t="str">
        <f t="shared" si="299"/>
        <v>Twitter Web Client</v>
      </c>
      <c r="L1614" s="13">
        <v>457</v>
      </c>
      <c r="M1614" s="13">
        <v>220</v>
      </c>
      <c r="N1614" s="13">
        <v>1</v>
      </c>
      <c r="O1614" s="15"/>
      <c r="P1614" s="6">
        <v>42345.139733796299</v>
      </c>
      <c r="Q1614" s="17" t="s">
        <v>26</v>
      </c>
      <c r="R1614" s="16" t="s">
        <v>1793</v>
      </c>
      <c r="S1614" s="12"/>
      <c r="T1614" s="12"/>
      <c r="U1614" s="10" t="str">
        <f>HYPERLINK("https://pbs.twimg.com/profile_images/933358946575937537/OOsCEI9L.jpg","View")</f>
        <v>View</v>
      </c>
    </row>
    <row r="1615" spans="1:21" ht="40.799999999999997">
      <c r="A1615" s="6">
        <v>43423.389062499999</v>
      </c>
      <c r="B1615" s="7" t="str">
        <f>HYPERLINK("https://twitter.com/VeoInfo_","@VeoInfo_")</f>
        <v>@VeoInfo_</v>
      </c>
      <c r="C1615" s="8" t="s">
        <v>517</v>
      </c>
      <c r="D1615" s="9" t="s">
        <v>5747</v>
      </c>
      <c r="E1615" s="10" t="str">
        <f>HYPERLINK("https://twitter.com/VeoInfo_/status/1064569053367451648","1064569053367451648")</f>
        <v>1064569053367451648</v>
      </c>
      <c r="F1615" s="17" t="s">
        <v>5748</v>
      </c>
      <c r="G1615" s="12"/>
      <c r="H1615" s="12"/>
      <c r="I1615" s="13">
        <v>0</v>
      </c>
      <c r="J1615" s="13">
        <v>0</v>
      </c>
      <c r="K1615" s="14" t="str">
        <f>HYPERLINK("http://publicize.wp.com/","WordPress.com")</f>
        <v>WordPress.com</v>
      </c>
      <c r="L1615" s="13">
        <v>1135</v>
      </c>
      <c r="M1615" s="13">
        <v>1139</v>
      </c>
      <c r="N1615" s="13">
        <v>36</v>
      </c>
      <c r="O1615" s="15"/>
      <c r="P1615" s="6">
        <v>41880.726840277777</v>
      </c>
      <c r="Q1615" s="17" t="s">
        <v>520</v>
      </c>
      <c r="R1615" s="16" t="s">
        <v>521</v>
      </c>
      <c r="S1615" s="11" t="s">
        <v>522</v>
      </c>
      <c r="T1615" s="12"/>
      <c r="U1615" s="10" t="str">
        <f>HYPERLINK("https://pbs.twimg.com/profile_images/601509372305485827/Val0dfGy.png","View")</f>
        <v>View</v>
      </c>
    </row>
    <row r="1616" spans="1:21" ht="30.6">
      <c r="A1616" s="6">
        <v>43423.388414351852</v>
      </c>
      <c r="B1616" s="7" t="str">
        <f>HYPERLINK("https://twitter.com/diario_realidad","@diario_realidad")</f>
        <v>@diario_realidad</v>
      </c>
      <c r="C1616" s="8" t="s">
        <v>5749</v>
      </c>
      <c r="D1616" s="9" t="s">
        <v>5750</v>
      </c>
      <c r="E1616" s="10" t="str">
        <f>HYPERLINK("https://twitter.com/diario_realidad/status/1064568817274232834","1064568817274232834")</f>
        <v>1064568817274232834</v>
      </c>
      <c r="F1616" s="12"/>
      <c r="G1616" s="11" t="s">
        <v>5751</v>
      </c>
      <c r="H1616" s="12"/>
      <c r="I1616" s="13">
        <v>17</v>
      </c>
      <c r="J1616" s="13">
        <v>26</v>
      </c>
      <c r="K1616" s="14" t="str">
        <f>HYPERLINK("http://twitter.com","Twitter Web Client")</f>
        <v>Twitter Web Client</v>
      </c>
      <c r="L1616" s="13">
        <v>730</v>
      </c>
      <c r="M1616" s="13">
        <v>542</v>
      </c>
      <c r="N1616" s="13">
        <v>1</v>
      </c>
      <c r="O1616" s="15"/>
      <c r="P1616" s="6">
        <v>43078.278113425928</v>
      </c>
      <c r="Q1616" s="17" t="s">
        <v>5752</v>
      </c>
      <c r="R1616" s="16" t="s">
        <v>5753</v>
      </c>
      <c r="S1616" s="11" t="s">
        <v>5754</v>
      </c>
      <c r="T1616" s="12"/>
      <c r="U1616" s="10" t="str">
        <f>HYPERLINK("https://pbs.twimg.com/profile_images/939631926234796033/I1WLJkrl.jpg","View")</f>
        <v>View</v>
      </c>
    </row>
    <row r="1617" spans="1:21" ht="71.400000000000006">
      <c r="A1617" s="6">
        <v>43423.386620370366</v>
      </c>
      <c r="B1617" s="7" t="str">
        <f>HYPERLINK("https://twitter.com/MaykeSchultz","@MaykeSchultz")</f>
        <v>@MaykeSchultz</v>
      </c>
      <c r="C1617" s="8" t="s">
        <v>2715</v>
      </c>
      <c r="D1617" s="9" t="s">
        <v>5755</v>
      </c>
      <c r="E1617" s="10" t="str">
        <f>HYPERLINK("https://twitter.com/MaykeSchultz/status/1064568168272793600","1064568168272793600")</f>
        <v>1064568168272793600</v>
      </c>
      <c r="F1617" s="17" t="s">
        <v>5756</v>
      </c>
      <c r="G1617" s="12"/>
      <c r="H1617" s="12"/>
      <c r="I1617" s="13">
        <v>10</v>
      </c>
      <c r="J1617" s="13">
        <v>6</v>
      </c>
      <c r="K1617" s="14" t="str">
        <f>HYPERLINK("http://twitter.com/download/iphone","Twitter for iPhone")</f>
        <v>Twitter for iPhone</v>
      </c>
      <c r="L1617" s="13">
        <v>5476</v>
      </c>
      <c r="M1617" s="13">
        <v>5390</v>
      </c>
      <c r="N1617" s="13">
        <v>12</v>
      </c>
      <c r="O1617" s="15"/>
      <c r="P1617" s="6">
        <v>42855.240497685183</v>
      </c>
      <c r="Q1617" s="17" t="s">
        <v>2717</v>
      </c>
      <c r="R1617" s="16" t="s">
        <v>2718</v>
      </c>
      <c r="S1617" s="12"/>
      <c r="T1617" s="12"/>
      <c r="U1617" s="10" t="str">
        <f>HYPERLINK("https://pbs.twimg.com/profile_images/898529991176093696/IGEI0uNA.jpg","View")</f>
        <v>View</v>
      </c>
    </row>
    <row r="1618" spans="1:21" ht="30.6">
      <c r="A1618" s="6">
        <v>43423.386504629627</v>
      </c>
      <c r="B1618" s="7" t="str">
        <f>HYPERLINK("https://twitter.com/Paooo_tsg21","@Paooo_tsg21")</f>
        <v>@Paooo_tsg21</v>
      </c>
      <c r="C1618" s="8" t="s">
        <v>5757</v>
      </c>
      <c r="D1618" s="9" t="s">
        <v>5758</v>
      </c>
      <c r="E1618" s="10" t="str">
        <f>HYPERLINK("https://twitter.com/Paooo_tsg21/status/1064568126183014400","1064568126183014400")</f>
        <v>1064568126183014400</v>
      </c>
      <c r="F1618" s="12"/>
      <c r="G1618" s="11" t="s">
        <v>5759</v>
      </c>
      <c r="H1618" s="12"/>
      <c r="I1618" s="13">
        <v>12</v>
      </c>
      <c r="J1618" s="13">
        <v>17</v>
      </c>
      <c r="K1618" s="14" t="str">
        <f>HYPERLINK("https://mobile.twitter.com","Twitter Lite")</f>
        <v>Twitter Lite</v>
      </c>
      <c r="L1618" s="13">
        <v>12</v>
      </c>
      <c r="M1618" s="13">
        <v>49</v>
      </c>
      <c r="N1618" s="13">
        <v>0</v>
      </c>
      <c r="O1618" s="15"/>
      <c r="P1618" s="6">
        <v>42421.417372685188</v>
      </c>
      <c r="Q1618" s="17" t="s">
        <v>5760</v>
      </c>
      <c r="R1618" s="16" t="s">
        <v>5761</v>
      </c>
      <c r="S1618" s="12"/>
      <c r="T1618" s="12"/>
      <c r="U1618" s="10" t="str">
        <f>HYPERLINK("https://pbs.twimg.com/profile_images/701467140042452998/Wgfh24pz.jpg","View")</f>
        <v>View</v>
      </c>
    </row>
    <row r="1619" spans="1:21" ht="30.6">
      <c r="A1619" s="6">
        <v>43423.381493055553</v>
      </c>
      <c r="B1619" s="7" t="str">
        <f>HYPERLINK("https://twitter.com/diario_realidad","@diario_realidad")</f>
        <v>@diario_realidad</v>
      </c>
      <c r="C1619" s="8" t="s">
        <v>5749</v>
      </c>
      <c r="D1619" s="9" t="s">
        <v>5762</v>
      </c>
      <c r="E1619" s="10" t="str">
        <f>HYPERLINK("https://twitter.com/diario_realidad/status/1064566310040948736","1064566310040948736")</f>
        <v>1064566310040948736</v>
      </c>
      <c r="F1619" s="12"/>
      <c r="G1619" s="11" t="s">
        <v>5763</v>
      </c>
      <c r="H1619" s="12"/>
      <c r="I1619" s="13">
        <v>1</v>
      </c>
      <c r="J1619" s="13">
        <v>1</v>
      </c>
      <c r="K1619" s="14" t="str">
        <f>HYPERLINK("http://twitter.com","Twitter Web Client")</f>
        <v>Twitter Web Client</v>
      </c>
      <c r="L1619" s="13">
        <v>730</v>
      </c>
      <c r="M1619" s="13">
        <v>542</v>
      </c>
      <c r="N1619" s="13">
        <v>1</v>
      </c>
      <c r="O1619" s="15"/>
      <c r="P1619" s="6">
        <v>43078.278113425928</v>
      </c>
      <c r="Q1619" s="17" t="s">
        <v>5752</v>
      </c>
      <c r="R1619" s="16" t="s">
        <v>5753</v>
      </c>
      <c r="S1619" s="11" t="s">
        <v>5754</v>
      </c>
      <c r="T1619" s="12"/>
      <c r="U1619" s="10" t="str">
        <f>HYPERLINK("https://pbs.twimg.com/profile_images/939631926234796033/I1WLJkrl.jpg","View")</f>
        <v>View</v>
      </c>
    </row>
    <row r="1620" spans="1:21" ht="81.599999999999994">
      <c r="A1620" s="6">
        <v>43423.38008101852</v>
      </c>
      <c r="B1620" s="7" t="str">
        <f>HYPERLINK("https://twitter.com/CAndresUranga","@CAndresUranga")</f>
        <v>@CAndresUranga</v>
      </c>
      <c r="C1620" s="8" t="s">
        <v>5764</v>
      </c>
      <c r="D1620" s="9" t="s">
        <v>5765</v>
      </c>
      <c r="E1620" s="10" t="str">
        <f>HYPERLINK("https://twitter.com/CAndresUranga/status/1064565796754591744","1064565796754591744")</f>
        <v>1064565796754591744</v>
      </c>
      <c r="F1620" s="11" t="s">
        <v>5766</v>
      </c>
      <c r="G1620" s="11" t="s">
        <v>5767</v>
      </c>
      <c r="H1620" s="12"/>
      <c r="I1620" s="13">
        <v>0</v>
      </c>
      <c r="J1620" s="13">
        <v>5</v>
      </c>
      <c r="K1620" s="14" t="str">
        <f>HYPERLINK("http://twitter.com/download/android","Twitter for Android")</f>
        <v>Twitter for Android</v>
      </c>
      <c r="L1620" s="13">
        <v>755</v>
      </c>
      <c r="M1620" s="13">
        <v>854</v>
      </c>
      <c r="N1620" s="13">
        <v>9</v>
      </c>
      <c r="O1620" s="15"/>
      <c r="P1620" s="6">
        <v>40959.533668981479</v>
      </c>
      <c r="Q1620" s="17" t="s">
        <v>5768</v>
      </c>
      <c r="R1620" s="16" t="s">
        <v>5769</v>
      </c>
      <c r="S1620" s="12"/>
      <c r="T1620" s="12"/>
      <c r="U1620" s="10" t="str">
        <f>HYPERLINK("https://pbs.twimg.com/profile_images/1059047975278784512/-NyMtyKv.jpg","View")</f>
        <v>View</v>
      </c>
    </row>
    <row r="1621" spans="1:21" ht="30.6">
      <c r="A1621" s="6">
        <v>43423.378807870366</v>
      </c>
      <c r="B1621" s="7" t="str">
        <f>HYPERLINK("https://twitter.com/mariano_alonsof","@mariano_alonsof")</f>
        <v>@mariano_alonsof</v>
      </c>
      <c r="C1621" s="8" t="s">
        <v>5770</v>
      </c>
      <c r="D1621" s="9" t="s">
        <v>5771</v>
      </c>
      <c r="E1621" s="10" t="str">
        <f>HYPERLINK("https://twitter.com/mariano_alonsof/status/1064565338073939969","1064565338073939969")</f>
        <v>1064565338073939969</v>
      </c>
      <c r="F1621" s="11" t="s">
        <v>5772</v>
      </c>
      <c r="G1621" s="12"/>
      <c r="H1621" s="12"/>
      <c r="I1621" s="13">
        <v>0</v>
      </c>
      <c r="J1621" s="13">
        <v>0</v>
      </c>
      <c r="K1621" s="14" t="str">
        <f>HYPERLINK("http://twitter.com/download/iphone","Twitter for iPhone")</f>
        <v>Twitter for iPhone</v>
      </c>
      <c r="L1621" s="13">
        <v>8076</v>
      </c>
      <c r="M1621" s="13">
        <v>4662</v>
      </c>
      <c r="N1621" s="13">
        <v>202</v>
      </c>
      <c r="O1621" s="15"/>
      <c r="P1621" s="6">
        <v>40645.178298611107</v>
      </c>
      <c r="Q1621" s="17" t="s">
        <v>5773</v>
      </c>
      <c r="R1621" s="16" t="s">
        <v>5774</v>
      </c>
      <c r="S1621" s="12"/>
      <c r="T1621" s="12"/>
      <c r="U1621" s="10" t="str">
        <f>HYPERLINK("https://pbs.twimg.com/profile_images/1043827567457964032/ENd9GkIh.jpg","View")</f>
        <v>View</v>
      </c>
    </row>
    <row r="1622" spans="1:21" ht="20.399999999999999">
      <c r="A1622" s="6">
        <v>43423.378148148149</v>
      </c>
      <c r="B1622" s="7" t="str">
        <f>HYPERLINK("https://twitter.com/BCNPep","@BCNPep")</f>
        <v>@BCNPep</v>
      </c>
      <c r="C1622" s="8" t="s">
        <v>712</v>
      </c>
      <c r="D1622" s="9" t="s">
        <v>4817</v>
      </c>
      <c r="E1622" s="10" t="str">
        <f>HYPERLINK("https://twitter.com/BCNPep/status/1064565099321540609","1064565099321540609")</f>
        <v>1064565099321540609</v>
      </c>
      <c r="F1622" s="11" t="s">
        <v>5523</v>
      </c>
      <c r="G1622" s="12"/>
      <c r="H1622" s="12"/>
      <c r="I1622" s="13">
        <v>0</v>
      </c>
      <c r="J1622" s="13">
        <v>0</v>
      </c>
      <c r="K1622" s="14" t="str">
        <f>HYPERLINK("http://www.facebook.com/twitter","Facebook")</f>
        <v>Facebook</v>
      </c>
      <c r="L1622" s="13">
        <v>568</v>
      </c>
      <c r="M1622" s="13">
        <v>1640</v>
      </c>
      <c r="N1622" s="13">
        <v>27</v>
      </c>
      <c r="O1622" s="15"/>
      <c r="P1622" s="6">
        <v>40572.63863425926</v>
      </c>
      <c r="Q1622" s="17" t="s">
        <v>187</v>
      </c>
      <c r="R1622" s="16" t="s">
        <v>713</v>
      </c>
      <c r="S1622" s="12"/>
      <c r="T1622" s="12"/>
      <c r="U1622" s="10" t="str">
        <f>HYPERLINK("https://pbs.twimg.com/profile_images/556601544674930689/PhiuZjBa.jpeg","View")</f>
        <v>View</v>
      </c>
    </row>
    <row r="1623" spans="1:21" ht="30.6">
      <c r="A1623" s="6">
        <v>43423.372488425928</v>
      </c>
      <c r="B1623" s="7" t="str">
        <f>HYPERLINK("https://twitter.com/loq_digalarubia","@loq_digalarubia")</f>
        <v>@loq_digalarubia</v>
      </c>
      <c r="C1623" s="8" t="s">
        <v>5775</v>
      </c>
      <c r="D1623" s="9" t="s">
        <v>5776</v>
      </c>
      <c r="E1623" s="10" t="str">
        <f>HYPERLINK("https://twitter.com/loq_digalarubia/status/1064563047065358338","1064563047065358338")</f>
        <v>1064563047065358338</v>
      </c>
      <c r="F1623" s="12"/>
      <c r="G1623" s="12"/>
      <c r="H1623" s="12"/>
      <c r="I1623" s="13">
        <v>0</v>
      </c>
      <c r="J1623" s="13">
        <v>3</v>
      </c>
      <c r="K1623" s="14" t="str">
        <f>HYPERLINK("http://twitter.com/download/iphone","Twitter for iPhone")</f>
        <v>Twitter for iPhone</v>
      </c>
      <c r="L1623" s="13">
        <v>1083</v>
      </c>
      <c r="M1623" s="13">
        <v>993</v>
      </c>
      <c r="N1623" s="13">
        <v>10</v>
      </c>
      <c r="O1623" s="15"/>
      <c r="P1623" s="6">
        <v>41441.241898148146</v>
      </c>
      <c r="Q1623" s="17" t="s">
        <v>5777</v>
      </c>
      <c r="R1623" s="16" t="s">
        <v>5778</v>
      </c>
      <c r="S1623" s="12"/>
      <c r="T1623" s="12"/>
      <c r="U1623" s="10" t="str">
        <f>HYPERLINK("https://pbs.twimg.com/profile_images/497381656958074880/EhBuuyQC.jpeg","View")</f>
        <v>View</v>
      </c>
    </row>
    <row r="1624" spans="1:21" ht="40.799999999999997">
      <c r="A1624" s="6">
        <v>43423.372025462959</v>
      </c>
      <c r="B1624" s="7" t="str">
        <f>HYPERLINK("https://twitter.com/JesusOrtegaE","@JesusOrtegaE")</f>
        <v>@JesusOrtegaE</v>
      </c>
      <c r="C1624" s="8" t="s">
        <v>4314</v>
      </c>
      <c r="D1624" s="9" t="s">
        <v>5779</v>
      </c>
      <c r="E1624" s="10" t="str">
        <f>HYPERLINK("https://twitter.com/JesusOrtegaE/status/1064562880190840832","1064562880190840832")</f>
        <v>1064562880190840832</v>
      </c>
      <c r="F1624" s="11" t="s">
        <v>5780</v>
      </c>
      <c r="G1624" s="11" t="s">
        <v>5781</v>
      </c>
      <c r="H1624" s="12"/>
      <c r="I1624" s="13">
        <v>1</v>
      </c>
      <c r="J1624" s="13">
        <v>2</v>
      </c>
      <c r="K1624" s="14" t="str">
        <f t="shared" ref="K1624:K1628" si="300">HYPERLINK("http://twitter.com","Twitter Web Client")</f>
        <v>Twitter Web Client</v>
      </c>
      <c r="L1624" s="13">
        <v>1013</v>
      </c>
      <c r="M1624" s="13">
        <v>907</v>
      </c>
      <c r="N1624" s="13">
        <v>49</v>
      </c>
      <c r="O1624" s="15"/>
      <c r="P1624" s="6">
        <v>40294.439687500002</v>
      </c>
      <c r="Q1624" s="12"/>
      <c r="R1624" s="16" t="s">
        <v>4318</v>
      </c>
      <c r="S1624" s="12"/>
      <c r="T1624" s="12"/>
      <c r="U1624" s="10" t="str">
        <f>HYPERLINK("https://pbs.twimg.com/profile_images/686624690882895872/zGQ0_CVq.jpg","View")</f>
        <v>View</v>
      </c>
    </row>
    <row r="1625" spans="1:21" ht="51">
      <c r="A1625" s="6">
        <v>43423.371342592596</v>
      </c>
      <c r="B1625" s="7" t="str">
        <f t="shared" ref="B1625:B1626" si="301">HYPERLINK("https://twitter.com/Calaixwebloc","@Calaixwebloc")</f>
        <v>@Calaixwebloc</v>
      </c>
      <c r="C1625" s="8" t="s">
        <v>3290</v>
      </c>
      <c r="D1625" s="9" t="s">
        <v>5782</v>
      </c>
      <c r="E1625" s="10" t="str">
        <f>HYPERLINK("https://twitter.com/Calaixwebloc/status/1064562629539217410","1064562629539217410")</f>
        <v>1064562629539217410</v>
      </c>
      <c r="F1625" s="17" t="s">
        <v>5783</v>
      </c>
      <c r="G1625" s="12"/>
      <c r="H1625" s="12"/>
      <c r="I1625" s="13">
        <v>1</v>
      </c>
      <c r="J1625" s="13">
        <v>1</v>
      </c>
      <c r="K1625" s="14" t="str">
        <f t="shared" si="300"/>
        <v>Twitter Web Client</v>
      </c>
      <c r="L1625" s="13">
        <v>2921</v>
      </c>
      <c r="M1625" s="13">
        <v>2864</v>
      </c>
      <c r="N1625" s="13">
        <v>91</v>
      </c>
      <c r="O1625" s="15"/>
      <c r="P1625" s="6">
        <v>40037.406689814816</v>
      </c>
      <c r="Q1625" s="17" t="s">
        <v>419</v>
      </c>
      <c r="R1625" s="16" t="s">
        <v>3292</v>
      </c>
      <c r="S1625" s="11" t="s">
        <v>3293</v>
      </c>
      <c r="T1625" s="12"/>
      <c r="U1625" s="10" t="str">
        <f t="shared" ref="U1625:U1626" si="302">HYPERLINK("https://pbs.twimg.com/profile_images/987729592923418629/vHhKvk5K.jpg","View")</f>
        <v>View</v>
      </c>
    </row>
    <row r="1626" spans="1:21" ht="40.799999999999997">
      <c r="A1626" s="6">
        <v>43423.37100694445</v>
      </c>
      <c r="B1626" s="7" t="str">
        <f t="shared" si="301"/>
        <v>@Calaixwebloc</v>
      </c>
      <c r="C1626" s="8" t="s">
        <v>3290</v>
      </c>
      <c r="D1626" s="9" t="s">
        <v>5784</v>
      </c>
      <c r="E1626" s="10" t="str">
        <f>HYPERLINK("https://twitter.com/Calaixwebloc/status/1064562508034441216","1064562508034441216")</f>
        <v>1064562508034441216</v>
      </c>
      <c r="F1626" s="11" t="s">
        <v>320</v>
      </c>
      <c r="G1626" s="12"/>
      <c r="H1626" s="12"/>
      <c r="I1626" s="13">
        <v>2</v>
      </c>
      <c r="J1626" s="13">
        <v>0</v>
      </c>
      <c r="K1626" s="14" t="str">
        <f t="shared" si="300"/>
        <v>Twitter Web Client</v>
      </c>
      <c r="L1626" s="13">
        <v>2921</v>
      </c>
      <c r="M1626" s="13">
        <v>2864</v>
      </c>
      <c r="N1626" s="13">
        <v>91</v>
      </c>
      <c r="O1626" s="15"/>
      <c r="P1626" s="6">
        <v>40037.406689814816</v>
      </c>
      <c r="Q1626" s="17" t="s">
        <v>419</v>
      </c>
      <c r="R1626" s="16" t="s">
        <v>3292</v>
      </c>
      <c r="S1626" s="11" t="s">
        <v>3293</v>
      </c>
      <c r="T1626" s="12"/>
      <c r="U1626" s="10" t="str">
        <f t="shared" si="302"/>
        <v>View</v>
      </c>
    </row>
    <row r="1627" spans="1:21" ht="51">
      <c r="A1627" s="6">
        <v>43423.370289351849</v>
      </c>
      <c r="B1627" s="7" t="str">
        <f>HYPERLINK("https://twitter.com/Erramun2014","@Erramun2014")</f>
        <v>@Erramun2014</v>
      </c>
      <c r="C1627" s="8" t="s">
        <v>5785</v>
      </c>
      <c r="D1627" s="9" t="s">
        <v>5786</v>
      </c>
      <c r="E1627" s="10" t="str">
        <f>HYPERLINK("https://twitter.com/Erramun2014/status/1064562248834867200","1064562248834867200")</f>
        <v>1064562248834867200</v>
      </c>
      <c r="F1627" s="12"/>
      <c r="G1627" s="12"/>
      <c r="H1627" s="12"/>
      <c r="I1627" s="13">
        <v>1</v>
      </c>
      <c r="J1627" s="13">
        <v>6</v>
      </c>
      <c r="K1627" s="14" t="str">
        <f t="shared" si="300"/>
        <v>Twitter Web Client</v>
      </c>
      <c r="L1627" s="13">
        <v>6288</v>
      </c>
      <c r="M1627" s="13">
        <v>496</v>
      </c>
      <c r="N1627" s="13">
        <v>58</v>
      </c>
      <c r="O1627" s="15"/>
      <c r="P1627" s="6">
        <v>41892.572546296295</v>
      </c>
      <c r="Q1627" s="17" t="s">
        <v>726</v>
      </c>
      <c r="R1627" s="18"/>
      <c r="S1627" s="12"/>
      <c r="T1627" s="12"/>
      <c r="U1627" s="10" t="str">
        <f>HYPERLINK("https://pbs.twimg.com/profile_images/915331944652705798/lFlPXhdO.jpg","View")</f>
        <v>View</v>
      </c>
    </row>
    <row r="1628" spans="1:21" ht="13.2">
      <c r="A1628" s="6">
        <v>43423.368067129632</v>
      </c>
      <c r="B1628" s="7" t="str">
        <f>HYPERLINK("https://twitter.com/AlfredoSiSal","@AlfredoSiSal")</f>
        <v>@AlfredoSiSal</v>
      </c>
      <c r="C1628" s="8" t="s">
        <v>5787</v>
      </c>
      <c r="D1628" s="9" t="s">
        <v>5658</v>
      </c>
      <c r="E1628" s="10" t="str">
        <f>HYPERLINK("https://twitter.com/AlfredoSiSal/status/1064561445982089217","1064561445982089217")</f>
        <v>1064561445982089217</v>
      </c>
      <c r="F1628" s="11" t="s">
        <v>5659</v>
      </c>
      <c r="G1628" s="12"/>
      <c r="H1628" s="12"/>
      <c r="I1628" s="13">
        <v>0</v>
      </c>
      <c r="J1628" s="13">
        <v>1</v>
      </c>
      <c r="K1628" s="14" t="str">
        <f t="shared" si="300"/>
        <v>Twitter Web Client</v>
      </c>
      <c r="L1628" s="13">
        <v>2179</v>
      </c>
      <c r="M1628" s="13">
        <v>2900</v>
      </c>
      <c r="N1628" s="13">
        <v>22</v>
      </c>
      <c r="O1628" s="15"/>
      <c r="P1628" s="6">
        <v>41515.155127314814</v>
      </c>
      <c r="Q1628" s="12"/>
      <c r="R1628" s="18"/>
      <c r="S1628" s="12"/>
      <c r="T1628" s="12"/>
      <c r="U1628" s="10" t="str">
        <f>HYPERLINK("https://pbs.twimg.com/profile_images/378800000379441556/26e68457f340274ac638c865851e4625.jpeg","View")</f>
        <v>View</v>
      </c>
    </row>
    <row r="1629" spans="1:21" ht="30.6">
      <c r="A1629" s="6">
        <v>43423.367071759261</v>
      </c>
      <c r="B1629" s="7" t="str">
        <f>HYPERLINK("https://twitter.com/fromtheTartarus","@fromtheTartarus")</f>
        <v>@fromtheTartarus</v>
      </c>
      <c r="C1629" s="8" t="s">
        <v>2073</v>
      </c>
      <c r="D1629" s="9" t="s">
        <v>5788</v>
      </c>
      <c r="E1629" s="10" t="str">
        <f>HYPERLINK("https://twitter.com/fromtheTartarus/status/1064561083040624640","1064561083040624640")</f>
        <v>1064561083040624640</v>
      </c>
      <c r="F1629" s="12"/>
      <c r="G1629" s="11" t="s">
        <v>5789</v>
      </c>
      <c r="H1629" s="12"/>
      <c r="I1629" s="13">
        <v>0</v>
      </c>
      <c r="J1629" s="13">
        <v>0</v>
      </c>
      <c r="K1629" s="14" t="str">
        <f t="shared" ref="K1629:K1630" si="303">HYPERLINK("http://twitter.com/download/android","Twitter for Android")</f>
        <v>Twitter for Android</v>
      </c>
      <c r="L1629" s="13">
        <v>1317</v>
      </c>
      <c r="M1629" s="13">
        <v>1331</v>
      </c>
      <c r="N1629" s="13">
        <v>0</v>
      </c>
      <c r="O1629" s="15"/>
      <c r="P1629" s="6">
        <v>41490.311990740738</v>
      </c>
      <c r="Q1629" s="12"/>
      <c r="R1629" s="16" t="s">
        <v>2075</v>
      </c>
      <c r="S1629" s="12"/>
      <c r="T1629" s="12"/>
      <c r="U1629" s="10" t="str">
        <f>HYPERLINK("https://pbs.twimg.com/profile_images/1053912689972523008/kZhxHvEO.jpg","View")</f>
        <v>View</v>
      </c>
    </row>
    <row r="1630" spans="1:21" ht="30.6">
      <c r="A1630" s="6">
        <v>43423.362546296295</v>
      </c>
      <c r="B1630" s="7" t="str">
        <f>HYPERLINK("https://twitter.com/pacoquijano1","@pacoquijano1")</f>
        <v>@pacoquijano1</v>
      </c>
      <c r="C1630" s="8" t="s">
        <v>5790</v>
      </c>
      <c r="D1630" s="9" t="s">
        <v>1749</v>
      </c>
      <c r="E1630" s="10" t="str">
        <f>HYPERLINK("https://twitter.com/pacoquijano1/status/1064559442807701507","1064559442807701507")</f>
        <v>1064559442807701507</v>
      </c>
      <c r="F1630" s="11" t="s">
        <v>1750</v>
      </c>
      <c r="G1630" s="12"/>
      <c r="H1630" s="12"/>
      <c r="I1630" s="13">
        <v>0</v>
      </c>
      <c r="J1630" s="13">
        <v>0</v>
      </c>
      <c r="K1630" s="14" t="str">
        <f t="shared" si="303"/>
        <v>Twitter for Android</v>
      </c>
      <c r="L1630" s="13">
        <v>44</v>
      </c>
      <c r="M1630" s="13">
        <v>176</v>
      </c>
      <c r="N1630" s="13">
        <v>1</v>
      </c>
      <c r="O1630" s="15"/>
      <c r="P1630" s="6">
        <v>41800.573807870373</v>
      </c>
      <c r="Q1630" s="12"/>
      <c r="R1630" s="18"/>
      <c r="S1630" s="12"/>
      <c r="T1630" s="12"/>
      <c r="U1630" s="10" t="str">
        <f>HYPERLINK("https://pbs.twimg.com/profile_images/476467722822250496/FG7muZ_S.jpeg","View")</f>
        <v>View</v>
      </c>
    </row>
    <row r="1631" spans="1:21" ht="51">
      <c r="A1631" s="6">
        <v>43423.360879629632</v>
      </c>
      <c r="B1631" s="7" t="str">
        <f>HYPERLINK("https://twitter.com/JLMendezMora","@JLMendezMora")</f>
        <v>@JLMendezMora</v>
      </c>
      <c r="C1631" s="8" t="s">
        <v>5791</v>
      </c>
      <c r="D1631" s="9" t="s">
        <v>5792</v>
      </c>
      <c r="E1631" s="10" t="str">
        <f>HYPERLINK("https://twitter.com/JLMendezMora/status/1064558839121498113","1064558839121498113")</f>
        <v>1064558839121498113</v>
      </c>
      <c r="F1631" s="11" t="s">
        <v>320</v>
      </c>
      <c r="G1631" s="12"/>
      <c r="H1631" s="12"/>
      <c r="I1631" s="13">
        <v>0</v>
      </c>
      <c r="J1631" s="13">
        <v>0</v>
      </c>
      <c r="K1631" s="14" t="str">
        <f>HYPERLINK("http://www.facebook.com/twitter","Facebook")</f>
        <v>Facebook</v>
      </c>
      <c r="L1631" s="13">
        <v>738</v>
      </c>
      <c r="M1631" s="13">
        <v>1005</v>
      </c>
      <c r="N1631" s="13">
        <v>14</v>
      </c>
      <c r="O1631" s="15"/>
      <c r="P1631" s="6">
        <v>40404.557754629626</v>
      </c>
      <c r="Q1631" s="17" t="s">
        <v>338</v>
      </c>
      <c r="R1631" s="16" t="s">
        <v>5793</v>
      </c>
      <c r="S1631" s="12"/>
      <c r="T1631" s="12"/>
      <c r="U1631" s="10" t="str">
        <f>HYPERLINK("https://pbs.twimg.com/profile_images/648427644455882752/pVGZHIEu.jpg","View")</f>
        <v>View</v>
      </c>
    </row>
    <row r="1632" spans="1:21" ht="51">
      <c r="A1632" s="6">
        <v>43423.360717592594</v>
      </c>
      <c r="B1632" s="7" t="str">
        <f>HYPERLINK("https://twitter.com/mariluz221","@mariluz221")</f>
        <v>@mariluz221</v>
      </c>
      <c r="C1632" s="8" t="s">
        <v>487</v>
      </c>
      <c r="D1632" s="9" t="s">
        <v>5794</v>
      </c>
      <c r="E1632" s="10" t="str">
        <f>HYPERLINK("https://twitter.com/mariluz221/status/1064558779910504450","1064558779910504450")</f>
        <v>1064558779910504450</v>
      </c>
      <c r="F1632" s="11" t="s">
        <v>320</v>
      </c>
      <c r="G1632" s="12"/>
      <c r="H1632" s="12"/>
      <c r="I1632" s="13">
        <v>0</v>
      </c>
      <c r="J1632" s="13">
        <v>0</v>
      </c>
      <c r="K1632" s="14" t="str">
        <f t="shared" ref="K1632:K1633" si="304">HYPERLINK("http://twitter.com/download/android","Twitter for Android")</f>
        <v>Twitter for Android</v>
      </c>
      <c r="L1632" s="13">
        <v>751</v>
      </c>
      <c r="M1632" s="13">
        <v>1527</v>
      </c>
      <c r="N1632" s="13">
        <v>10</v>
      </c>
      <c r="O1632" s="15"/>
      <c r="P1632" s="6">
        <v>40641.554699074077</v>
      </c>
      <c r="Q1632" s="17" t="s">
        <v>1018</v>
      </c>
      <c r="R1632" s="16" t="s">
        <v>4567</v>
      </c>
      <c r="S1632" s="12"/>
      <c r="T1632" s="12"/>
      <c r="U1632" s="10" t="str">
        <f>HYPERLINK("https://pbs.twimg.com/profile_images/1036240644879069185/Y_nCbqu8.jpg","View")</f>
        <v>View</v>
      </c>
    </row>
    <row r="1633" spans="1:21" ht="40.799999999999997">
      <c r="A1633" s="6">
        <v>43423.357557870375</v>
      </c>
      <c r="B1633" s="7" t="str">
        <f>HYPERLINK("https://twitter.com/fromtheTartarus","@fromtheTartarus")</f>
        <v>@fromtheTartarus</v>
      </c>
      <c r="C1633" s="8" t="s">
        <v>2073</v>
      </c>
      <c r="D1633" s="9" t="s">
        <v>5795</v>
      </c>
      <c r="E1633" s="10" t="str">
        <f>HYPERLINK("https://twitter.com/fromtheTartarus/status/1064557635947692033","1064557635947692033")</f>
        <v>1064557635947692033</v>
      </c>
      <c r="F1633" s="12"/>
      <c r="G1633" s="12"/>
      <c r="H1633" s="12"/>
      <c r="I1633" s="13">
        <v>0</v>
      </c>
      <c r="J1633" s="13">
        <v>0</v>
      </c>
      <c r="K1633" s="14" t="str">
        <f t="shared" si="304"/>
        <v>Twitter for Android</v>
      </c>
      <c r="L1633" s="13">
        <v>1317</v>
      </c>
      <c r="M1633" s="13">
        <v>1331</v>
      </c>
      <c r="N1633" s="13">
        <v>0</v>
      </c>
      <c r="O1633" s="15"/>
      <c r="P1633" s="6">
        <v>41490.311990740738</v>
      </c>
      <c r="Q1633" s="12"/>
      <c r="R1633" s="16" t="s">
        <v>2075</v>
      </c>
      <c r="S1633" s="12"/>
      <c r="T1633" s="12"/>
      <c r="U1633" s="10" t="str">
        <f>HYPERLINK("https://pbs.twimg.com/profile_images/1053912689972523008/kZhxHvEO.jpg","View")</f>
        <v>View</v>
      </c>
    </row>
    <row r="1634" spans="1:21" ht="30.6">
      <c r="A1634" s="6">
        <v>43423.35737268519</v>
      </c>
      <c r="B1634" s="7" t="str">
        <f>HYPERLINK("https://twitter.com/bernabbot","@bernabbot")</f>
        <v>@bernabbot</v>
      </c>
      <c r="C1634" s="8" t="s">
        <v>4730</v>
      </c>
      <c r="D1634" s="9" t="s">
        <v>5796</v>
      </c>
      <c r="E1634" s="10" t="str">
        <f>HYPERLINK("https://twitter.com/bernabbot/status/1064557568113156096","1064557568113156096")</f>
        <v>1064557568113156096</v>
      </c>
      <c r="F1634" s="12"/>
      <c r="G1634" s="12"/>
      <c r="H1634" s="12"/>
      <c r="I1634" s="13">
        <v>2</v>
      </c>
      <c r="J1634" s="13">
        <v>1</v>
      </c>
      <c r="K1634" s="14" t="str">
        <f>HYPERLINK("https://www.fitmore.es/bernabot","Bernabbot")</f>
        <v>Bernabbot</v>
      </c>
      <c r="L1634" s="13">
        <v>68</v>
      </c>
      <c r="M1634" s="13">
        <v>2</v>
      </c>
      <c r="N1634" s="13">
        <v>0</v>
      </c>
      <c r="O1634" s="15"/>
      <c r="P1634" s="6">
        <v>43423.287824074076</v>
      </c>
      <c r="Q1634" s="12"/>
      <c r="R1634" s="18"/>
      <c r="S1634" s="12"/>
      <c r="T1634" s="12"/>
      <c r="U1634" s="10" t="str">
        <f>HYPERLINK("https://pbs.twimg.com/profile_images/1064534846566031361/saZW9ZYx.jpg","View")</f>
        <v>View</v>
      </c>
    </row>
    <row r="1635" spans="1:21" ht="40.799999999999997">
      <c r="A1635" s="6">
        <v>43423.352546296301</v>
      </c>
      <c r="B1635" s="7" t="str">
        <f>HYPERLINK("https://twitter.com/caval100","@caval100")</f>
        <v>@caval100</v>
      </c>
      <c r="C1635" s="8" t="s">
        <v>1350</v>
      </c>
      <c r="D1635" s="9" t="s">
        <v>5439</v>
      </c>
      <c r="E1635" s="10" t="str">
        <f>HYPERLINK("https://twitter.com/caval100/status/1064555820023758848","1064555820023758848")</f>
        <v>1064555820023758848</v>
      </c>
      <c r="F1635" s="11" t="s">
        <v>5440</v>
      </c>
      <c r="G1635" s="12"/>
      <c r="H1635" s="12"/>
      <c r="I1635" s="13">
        <v>2</v>
      </c>
      <c r="J1635" s="13">
        <v>3</v>
      </c>
      <c r="K1635" s="14" t="str">
        <f>HYPERLINK("http://twitter.com","Twitter Web Client")</f>
        <v>Twitter Web Client</v>
      </c>
      <c r="L1635" s="13">
        <v>119224</v>
      </c>
      <c r="M1635" s="13">
        <v>94076</v>
      </c>
      <c r="N1635" s="13">
        <v>980</v>
      </c>
      <c r="O1635" s="15"/>
      <c r="P1635" s="6">
        <v>40079.062094907407</v>
      </c>
      <c r="Q1635" s="17" t="s">
        <v>971</v>
      </c>
      <c r="R1635" s="16" t="s">
        <v>1352</v>
      </c>
      <c r="S1635" s="11" t="s">
        <v>1353</v>
      </c>
      <c r="T1635" s="12"/>
      <c r="U1635" s="10" t="str">
        <f>HYPERLINK("https://pbs.twimg.com/profile_images/965350678301429760/uvGI7g8U.jpg","View")</f>
        <v>View</v>
      </c>
    </row>
    <row r="1636" spans="1:21" ht="40.799999999999997">
      <c r="A1636" s="6">
        <v>43423.349293981482</v>
      </c>
      <c r="B1636" s="7" t="str">
        <f>HYPERLINK("https://twitter.com/antonioperal","@antonioperal")</f>
        <v>@antonioperal</v>
      </c>
      <c r="C1636" s="8" t="s">
        <v>4248</v>
      </c>
      <c r="D1636" s="9" t="s">
        <v>5797</v>
      </c>
      <c r="E1636" s="10" t="str">
        <f>HYPERLINK("https://twitter.com/antonioperal/status/1064554641382354946","1064554641382354946")</f>
        <v>1064554641382354946</v>
      </c>
      <c r="F1636" s="11" t="s">
        <v>5798</v>
      </c>
      <c r="G1636" s="12"/>
      <c r="H1636" s="12"/>
      <c r="I1636" s="13">
        <v>5</v>
      </c>
      <c r="J1636" s="13">
        <v>2</v>
      </c>
      <c r="K1636" s="14" t="str">
        <f>HYPERLINK("http://twitter.com/download/iphone","Twitter for iPhone")</f>
        <v>Twitter for iPhone</v>
      </c>
      <c r="L1636" s="13">
        <v>17604</v>
      </c>
      <c r="M1636" s="13">
        <v>12087</v>
      </c>
      <c r="N1636" s="13">
        <v>283</v>
      </c>
      <c r="O1636" s="15"/>
      <c r="P1636" s="6">
        <v>40232.031469907408</v>
      </c>
      <c r="Q1636" s="17" t="s">
        <v>4251</v>
      </c>
      <c r="R1636" s="16" t="s">
        <v>4252</v>
      </c>
      <c r="S1636" s="11" t="s">
        <v>4253</v>
      </c>
      <c r="T1636" s="12"/>
      <c r="U1636" s="10" t="str">
        <f>HYPERLINK("https://pbs.twimg.com/profile_images/886138908311990273/JuZB9dVx.jpg","View")</f>
        <v>View</v>
      </c>
    </row>
    <row r="1637" spans="1:21" ht="40.799999999999997">
      <c r="A1637" s="6">
        <v>43423.347546296296</v>
      </c>
      <c r="B1637" s="7" t="str">
        <f>HYPERLINK("https://twitter.com/eslatarde","@eslatarde")</f>
        <v>@eslatarde</v>
      </c>
      <c r="C1637" s="8" t="s">
        <v>4254</v>
      </c>
      <c r="D1637" s="9" t="s">
        <v>5799</v>
      </c>
      <c r="E1637" s="10" t="str">
        <f>HYPERLINK("https://twitter.com/eslatarde/status/1064554006540890112","1064554006540890112")</f>
        <v>1064554006540890112</v>
      </c>
      <c r="F1637" s="12"/>
      <c r="G1637" s="12"/>
      <c r="H1637" s="12"/>
      <c r="I1637" s="13">
        <v>2</v>
      </c>
      <c r="J1637" s="13">
        <v>2</v>
      </c>
      <c r="K1637" s="14" t="str">
        <f>HYPERLINK("http://twitter.com","Twitter Web Client")</f>
        <v>Twitter Web Client</v>
      </c>
      <c r="L1637" s="13">
        <v>21218</v>
      </c>
      <c r="M1637" s="13">
        <v>1195</v>
      </c>
      <c r="N1637" s="13">
        <v>178</v>
      </c>
      <c r="O1637" s="19" t="s">
        <v>74</v>
      </c>
      <c r="P1637" s="6">
        <v>41487.325925925928</v>
      </c>
      <c r="Q1637" s="12"/>
      <c r="R1637" s="16" t="s">
        <v>4256</v>
      </c>
      <c r="S1637" s="11" t="s">
        <v>4257</v>
      </c>
      <c r="T1637" s="12"/>
      <c r="U1637" s="10" t="str">
        <f>HYPERLINK("https://pbs.twimg.com/profile_images/430657794740457472/J8u4e-W3.jpeg","View")</f>
        <v>View</v>
      </c>
    </row>
    <row r="1638" spans="1:21" ht="20.399999999999999">
      <c r="A1638" s="6">
        <v>43423.345416666663</v>
      </c>
      <c r="B1638" s="7" t="str">
        <f>HYPERLINK("https://twitter.com/DavidTorresPub","@DavidTorresPub")</f>
        <v>@DavidTorresPub</v>
      </c>
      <c r="C1638" s="8" t="s">
        <v>5800</v>
      </c>
      <c r="D1638" s="9" t="s">
        <v>5801</v>
      </c>
      <c r="E1638" s="10" t="str">
        <f>HYPERLINK("https://twitter.com/DavidTorresPub/status/1064553237670432768","1064553237670432768")</f>
        <v>1064553237670432768</v>
      </c>
      <c r="F1638" s="12"/>
      <c r="G1638" s="12"/>
      <c r="H1638" s="12"/>
      <c r="I1638" s="13">
        <v>1</v>
      </c>
      <c r="J1638" s="13">
        <v>6</v>
      </c>
      <c r="K1638" s="14" t="str">
        <f>HYPERLINK("http://www.facebook.com/twitter","Facebook")</f>
        <v>Facebook</v>
      </c>
      <c r="L1638" s="13">
        <v>1284</v>
      </c>
      <c r="M1638" s="13">
        <v>203</v>
      </c>
      <c r="N1638" s="13">
        <v>20</v>
      </c>
      <c r="O1638" s="15"/>
      <c r="P1638" s="6">
        <v>42748.078969907408</v>
      </c>
      <c r="Q1638" s="17" t="s">
        <v>26</v>
      </c>
      <c r="R1638" s="16" t="s">
        <v>5802</v>
      </c>
      <c r="S1638" s="12"/>
      <c r="T1638" s="12"/>
      <c r="U1638" s="10" t="str">
        <f>HYPERLINK("https://pbs.twimg.com/profile_images/819847089857429504/Xc2PG-dv.jpg","View")</f>
        <v>View</v>
      </c>
    </row>
    <row r="1639" spans="1:21" ht="51">
      <c r="A1639" s="6">
        <v>43423.34511574074</v>
      </c>
      <c r="B1639" s="7" t="str">
        <f>HYPERLINK("https://twitter.com/eslatarde","@eslatarde")</f>
        <v>@eslatarde</v>
      </c>
      <c r="C1639" s="8" t="s">
        <v>4254</v>
      </c>
      <c r="D1639" s="9" t="s">
        <v>5803</v>
      </c>
      <c r="E1639" s="10" t="str">
        <f>HYPERLINK("https://twitter.com/eslatarde/status/1064553124860489729","1064553124860489729")</f>
        <v>1064553124860489729</v>
      </c>
      <c r="F1639" s="12"/>
      <c r="G1639" s="12"/>
      <c r="H1639" s="12"/>
      <c r="I1639" s="13">
        <v>1</v>
      </c>
      <c r="J1639" s="13">
        <v>5</v>
      </c>
      <c r="K1639" s="14" t="str">
        <f>HYPERLINK("http://twitter.com","Twitter Web Client")</f>
        <v>Twitter Web Client</v>
      </c>
      <c r="L1639" s="13">
        <v>21218</v>
      </c>
      <c r="M1639" s="13">
        <v>1195</v>
      </c>
      <c r="N1639" s="13">
        <v>178</v>
      </c>
      <c r="O1639" s="19" t="s">
        <v>74</v>
      </c>
      <c r="P1639" s="6">
        <v>41487.325925925928</v>
      </c>
      <c r="Q1639" s="12"/>
      <c r="R1639" s="16" t="s">
        <v>4256</v>
      </c>
      <c r="S1639" s="11" t="s">
        <v>4257</v>
      </c>
      <c r="T1639" s="12"/>
      <c r="U1639" s="10" t="str">
        <f>HYPERLINK("https://pbs.twimg.com/profile_images/430657794740457472/J8u4e-W3.jpeg","View")</f>
        <v>View</v>
      </c>
    </row>
    <row r="1640" spans="1:21" ht="51">
      <c r="A1640" s="6">
        <v>43423.341122685189</v>
      </c>
      <c r="B1640" s="7" t="str">
        <f>HYPERLINK("https://twitter.com/jordifontcomas","@jordifontcomas")</f>
        <v>@jordifontcomas</v>
      </c>
      <c r="C1640" s="8" t="s">
        <v>5804</v>
      </c>
      <c r="D1640" s="9" t="s">
        <v>5805</v>
      </c>
      <c r="E1640" s="10" t="str">
        <f>HYPERLINK("https://twitter.com/jordifontcomas/status/1064551681566916610","1064551681566916610")</f>
        <v>1064551681566916610</v>
      </c>
      <c r="F1640" s="11" t="s">
        <v>4961</v>
      </c>
      <c r="G1640" s="12"/>
      <c r="H1640" s="12"/>
      <c r="I1640" s="13">
        <v>1</v>
      </c>
      <c r="J1640" s="13">
        <v>2</v>
      </c>
      <c r="K1640" s="14" t="str">
        <f t="shared" ref="K1640:K1644" si="305">HYPERLINK("http://twitter.com/download/android","Twitter for Android")</f>
        <v>Twitter for Android</v>
      </c>
      <c r="L1640" s="13">
        <v>882</v>
      </c>
      <c r="M1640" s="13">
        <v>1140</v>
      </c>
      <c r="N1640" s="13">
        <v>30</v>
      </c>
      <c r="O1640" s="15"/>
      <c r="P1640" s="6">
        <v>40542.495844907404</v>
      </c>
      <c r="Q1640" s="17" t="s">
        <v>187</v>
      </c>
      <c r="R1640" s="16" t="s">
        <v>5806</v>
      </c>
      <c r="S1640" s="12"/>
      <c r="T1640" s="12"/>
      <c r="U1640" s="10" t="str">
        <f>HYPERLINK("https://pbs.twimg.com/profile_images/1012390597360078848/6rmgEAEJ.jpg","View")</f>
        <v>View</v>
      </c>
    </row>
    <row r="1641" spans="1:21" ht="81.599999999999994">
      <c r="A1641" s="6">
        <v>43423.333819444444</v>
      </c>
      <c r="B1641" s="7" t="str">
        <f>HYPERLINK("https://twitter.com/The_Patriotsv","@The_Patriotsv")</f>
        <v>@The_Patriotsv</v>
      </c>
      <c r="C1641" s="8" t="s">
        <v>5807</v>
      </c>
      <c r="D1641" s="9" t="s">
        <v>5808</v>
      </c>
      <c r="E1641" s="10" t="str">
        <f>HYPERLINK("https://twitter.com/The_Patriotsv/status/1064549032566157312","1064549032566157312")</f>
        <v>1064549032566157312</v>
      </c>
      <c r="F1641" s="11" t="s">
        <v>5809</v>
      </c>
      <c r="G1641" s="11" t="s">
        <v>5810</v>
      </c>
      <c r="H1641" s="12"/>
      <c r="I1641" s="13">
        <v>4</v>
      </c>
      <c r="J1641" s="13">
        <v>2</v>
      </c>
      <c r="K1641" s="14" t="str">
        <f t="shared" si="305"/>
        <v>Twitter for Android</v>
      </c>
      <c r="L1641" s="13">
        <v>620</v>
      </c>
      <c r="M1641" s="13">
        <v>727</v>
      </c>
      <c r="N1641" s="13">
        <v>1</v>
      </c>
      <c r="O1641" s="15"/>
      <c r="P1641" s="6">
        <v>40636.812638888892</v>
      </c>
      <c r="Q1641" s="12"/>
      <c r="R1641" s="16" t="s">
        <v>5811</v>
      </c>
      <c r="S1641" s="12"/>
      <c r="T1641" s="12"/>
      <c r="U1641" s="10" t="str">
        <f>HYPERLINK("https://pbs.twimg.com/profile_images/1059441494061469697/SohQsxz1.jpg","View")</f>
        <v>View</v>
      </c>
    </row>
    <row r="1642" spans="1:21" ht="30.6">
      <c r="A1642" s="6">
        <v>43423.33011574074</v>
      </c>
      <c r="B1642" s="7" t="str">
        <f>HYPERLINK("https://twitter.com/Pepo1952","@Pepo1952")</f>
        <v>@Pepo1952</v>
      </c>
      <c r="C1642" s="8" t="s">
        <v>5812</v>
      </c>
      <c r="D1642" s="9" t="s">
        <v>5813</v>
      </c>
      <c r="E1642" s="10" t="str">
        <f>HYPERLINK("https://twitter.com/Pepo1952/status/1064547689810006017","1064547689810006017")</f>
        <v>1064547689810006017</v>
      </c>
      <c r="F1642" s="17" t="s">
        <v>5814</v>
      </c>
      <c r="G1642" s="12"/>
      <c r="H1642" s="12"/>
      <c r="I1642" s="13">
        <v>1</v>
      </c>
      <c r="J1642" s="13">
        <v>1</v>
      </c>
      <c r="K1642" s="14" t="str">
        <f t="shared" si="305"/>
        <v>Twitter for Android</v>
      </c>
      <c r="L1642" s="13">
        <v>125</v>
      </c>
      <c r="M1642" s="13">
        <v>254</v>
      </c>
      <c r="N1642" s="13">
        <v>0</v>
      </c>
      <c r="O1642" s="15"/>
      <c r="P1642" s="6">
        <v>42153.0855787037</v>
      </c>
      <c r="Q1642" s="17" t="s">
        <v>5815</v>
      </c>
      <c r="R1642" s="18"/>
      <c r="S1642" s="12"/>
      <c r="T1642" s="12"/>
      <c r="U1642" s="10" t="str">
        <f>HYPERLINK("https://pbs.twimg.com/profile_images/604801691884638208/i2rscXzJ.jpg","View")</f>
        <v>View</v>
      </c>
    </row>
    <row r="1643" spans="1:21" ht="20.399999999999999">
      <c r="A1643" s="6">
        <v>43423.325671296298</v>
      </c>
      <c r="B1643" s="7" t="str">
        <f>HYPERLINK("https://twitter.com/Payyno5","@Payyno5")</f>
        <v>@Payyno5</v>
      </c>
      <c r="C1643" s="8" t="s">
        <v>5816</v>
      </c>
      <c r="D1643" s="9" t="s">
        <v>5817</v>
      </c>
      <c r="E1643" s="10" t="str">
        <f>HYPERLINK("https://twitter.com/Payyno5/status/1064546082221379584","1064546082221379584")</f>
        <v>1064546082221379584</v>
      </c>
      <c r="F1643" s="11" t="s">
        <v>5818</v>
      </c>
      <c r="G1643" s="12"/>
      <c r="H1643" s="12"/>
      <c r="I1643" s="13">
        <v>0</v>
      </c>
      <c r="J1643" s="13">
        <v>3</v>
      </c>
      <c r="K1643" s="14" t="str">
        <f t="shared" si="305"/>
        <v>Twitter for Android</v>
      </c>
      <c r="L1643" s="13">
        <v>147</v>
      </c>
      <c r="M1643" s="13">
        <v>65</v>
      </c>
      <c r="N1643" s="13">
        <v>0</v>
      </c>
      <c r="O1643" s="15"/>
      <c r="P1643" s="6">
        <v>42275.348032407404</v>
      </c>
      <c r="Q1643" s="17" t="s">
        <v>5819</v>
      </c>
      <c r="R1643" s="16" t="s">
        <v>5820</v>
      </c>
      <c r="S1643" s="12"/>
      <c r="T1643" s="12"/>
      <c r="U1643" s="10" t="str">
        <f>HYPERLINK("https://pbs.twimg.com/profile_images/991339504198963200/KqYpzc1j.jpg","View")</f>
        <v>View</v>
      </c>
    </row>
    <row r="1644" spans="1:21" ht="20.399999999999999">
      <c r="A1644" s="6">
        <v>43423.323842592596</v>
      </c>
      <c r="B1644" s="7" t="str">
        <f>HYPERLINK("https://twitter.com/remeistrash","@remeistrash")</f>
        <v>@remeistrash</v>
      </c>
      <c r="C1644" s="8" t="s">
        <v>5821</v>
      </c>
      <c r="D1644" s="9" t="s">
        <v>5822</v>
      </c>
      <c r="E1644" s="10" t="str">
        <f>HYPERLINK("https://twitter.com/remeistrash/status/1064545418942578688","1064545418942578688")</f>
        <v>1064545418942578688</v>
      </c>
      <c r="F1644" s="12"/>
      <c r="G1644" s="12"/>
      <c r="H1644" s="12"/>
      <c r="I1644" s="13">
        <v>1</v>
      </c>
      <c r="J1644" s="13">
        <v>3</v>
      </c>
      <c r="K1644" s="14" t="str">
        <f t="shared" si="305"/>
        <v>Twitter for Android</v>
      </c>
      <c r="L1644" s="13">
        <v>591</v>
      </c>
      <c r="M1644" s="13">
        <v>299</v>
      </c>
      <c r="N1644" s="13">
        <v>12</v>
      </c>
      <c r="O1644" s="15"/>
      <c r="P1644" s="6">
        <v>41211.282349537039</v>
      </c>
      <c r="Q1644" s="12"/>
      <c r="R1644" s="16" t="s">
        <v>5823</v>
      </c>
      <c r="S1644" s="12"/>
      <c r="T1644" s="12"/>
      <c r="U1644" s="10" t="str">
        <f>HYPERLINK("https://pbs.twimg.com/profile_images/1058488342784950272/ed7Rpm8v.jpg","View")</f>
        <v>View</v>
      </c>
    </row>
    <row r="1645" spans="1:21" ht="61.2">
      <c r="A1645" s="6">
        <v>43423.321655092594</v>
      </c>
      <c r="B1645" s="7" t="str">
        <f>HYPERLINK("https://twitter.com/RCorindon","@RCorindon")</f>
        <v>@RCorindon</v>
      </c>
      <c r="C1645" s="8" t="s">
        <v>3440</v>
      </c>
      <c r="D1645" s="9" t="s">
        <v>5824</v>
      </c>
      <c r="E1645" s="10" t="str">
        <f>HYPERLINK("https://twitter.com/RCorindon/status/1064544623727730689","1064544623727730689")</f>
        <v>1064544623727730689</v>
      </c>
      <c r="F1645" s="12"/>
      <c r="G1645" s="12"/>
      <c r="H1645" s="12"/>
      <c r="I1645" s="13">
        <v>0</v>
      </c>
      <c r="J1645" s="13">
        <v>1</v>
      </c>
      <c r="K1645" s="14" t="str">
        <f>HYPERLINK("http://twitter.com","Twitter Web Client")</f>
        <v>Twitter Web Client</v>
      </c>
      <c r="L1645" s="13">
        <v>107</v>
      </c>
      <c r="M1645" s="13">
        <v>105</v>
      </c>
      <c r="N1645" s="13">
        <v>0</v>
      </c>
      <c r="O1645" s="15"/>
      <c r="P1645" s="6">
        <v>42099.583622685182</v>
      </c>
      <c r="Q1645" s="12"/>
      <c r="R1645" s="18"/>
      <c r="S1645" s="12"/>
      <c r="T1645" s="12"/>
      <c r="U1645" s="10" t="str">
        <f>HYPERLINK("https://pbs.twimg.com/profile_images/967395399161057280/NH5vulxk.jpg","View")</f>
        <v>View</v>
      </c>
    </row>
    <row r="1646" spans="1:21" ht="30.6">
      <c r="A1646" s="6">
        <v>43423.321527777778</v>
      </c>
      <c r="B1646" s="7" t="str">
        <f>HYPERLINK("https://twitter.com/Ocean_Saray","@Ocean_Saray")</f>
        <v>@Ocean_Saray</v>
      </c>
      <c r="C1646" s="8" t="s">
        <v>5825</v>
      </c>
      <c r="D1646" s="9" t="s">
        <v>5826</v>
      </c>
      <c r="E1646" s="10" t="str">
        <f>HYPERLINK("https://twitter.com/Ocean_Saray/status/1064544579708469248","1064544579708469248")</f>
        <v>1064544579708469248</v>
      </c>
      <c r="F1646" s="11" t="s">
        <v>5827</v>
      </c>
      <c r="G1646" s="11" t="s">
        <v>5828</v>
      </c>
      <c r="H1646" s="12"/>
      <c r="I1646" s="13">
        <v>2</v>
      </c>
      <c r="J1646" s="13">
        <v>5</v>
      </c>
      <c r="K1646" s="14" t="str">
        <f>HYPERLINK("http://twitter.com/download/android","Twitter for Android")</f>
        <v>Twitter for Android</v>
      </c>
      <c r="L1646" s="13">
        <v>175</v>
      </c>
      <c r="M1646" s="13">
        <v>232</v>
      </c>
      <c r="N1646" s="13">
        <v>2</v>
      </c>
      <c r="O1646" s="15"/>
      <c r="P1646" s="6">
        <v>41459.5387962963</v>
      </c>
      <c r="Q1646" s="17" t="s">
        <v>5829</v>
      </c>
      <c r="R1646" s="16" t="s">
        <v>5830</v>
      </c>
      <c r="S1646" s="12"/>
      <c r="T1646" s="12"/>
      <c r="U1646" s="10" t="str">
        <f>HYPERLINK("https://pbs.twimg.com/profile_images/564434206009597952/poe7XFzp.jpeg","View")</f>
        <v>View</v>
      </c>
    </row>
    <row r="1647" spans="1:21" ht="20.399999999999999">
      <c r="A1647" s="6">
        <v>43423.321493055555</v>
      </c>
      <c r="B1647" s="7" t="str">
        <f>HYPERLINK("https://twitter.com/mnavarrorincon","@mnavarrorincon")</f>
        <v>@mnavarrorincon</v>
      </c>
      <c r="C1647" s="8" t="s">
        <v>3415</v>
      </c>
      <c r="D1647" s="9" t="s">
        <v>5086</v>
      </c>
      <c r="E1647" s="10" t="str">
        <f>HYPERLINK("https://twitter.com/mnavarrorincon/status/1064544567918247937","1064544567918247937")</f>
        <v>1064544567918247937</v>
      </c>
      <c r="F1647" s="11" t="s">
        <v>5831</v>
      </c>
      <c r="G1647" s="12"/>
      <c r="H1647" s="12"/>
      <c r="I1647" s="13">
        <v>0</v>
      </c>
      <c r="J1647" s="13">
        <v>0</v>
      </c>
      <c r="K1647" s="14" t="str">
        <f>HYPERLINK("http://twitter.com/download/iphone","Twitter for iPhone")</f>
        <v>Twitter for iPhone</v>
      </c>
      <c r="L1647" s="13">
        <v>150</v>
      </c>
      <c r="M1647" s="13">
        <v>95</v>
      </c>
      <c r="N1647" s="13">
        <v>16</v>
      </c>
      <c r="O1647" s="15"/>
      <c r="P1647" s="6">
        <v>42154.45689814815</v>
      </c>
      <c r="Q1647" s="17" t="s">
        <v>5832</v>
      </c>
      <c r="R1647" s="18"/>
      <c r="S1647" s="12"/>
      <c r="T1647" s="12"/>
      <c r="U1647" s="10" t="str">
        <f>HYPERLINK("https://pbs.twimg.com/profile_images/881154773298417665/Hgx1ATn5.jpg","View")</f>
        <v>View</v>
      </c>
    </row>
    <row r="1648" spans="1:21" ht="30.6">
      <c r="A1648" s="6">
        <v>43423.319571759261</v>
      </c>
      <c r="B1648" s="7" t="str">
        <f>HYPERLINK("https://twitter.com/ALF_Astur","@ALF_Astur")</f>
        <v>@ALF_Astur</v>
      </c>
      <c r="C1648" s="8" t="s">
        <v>1412</v>
      </c>
      <c r="D1648" s="9" t="s">
        <v>5833</v>
      </c>
      <c r="E1648" s="10" t="str">
        <f>HYPERLINK("https://twitter.com/ALF_Astur/status/1064543871689007105","1064543871689007105")</f>
        <v>1064543871689007105</v>
      </c>
      <c r="F1648" s="12"/>
      <c r="G1648" s="12"/>
      <c r="H1648" s="12"/>
      <c r="I1648" s="13">
        <v>1</v>
      </c>
      <c r="J1648" s="13">
        <v>1</v>
      </c>
      <c r="K1648" s="14" t="str">
        <f t="shared" ref="K1648:K1649" si="306">HYPERLINK("http://twitter.com/download/android","Twitter for Android")</f>
        <v>Twitter for Android</v>
      </c>
      <c r="L1648" s="13">
        <v>277</v>
      </c>
      <c r="M1648" s="13">
        <v>489</v>
      </c>
      <c r="N1648" s="13">
        <v>3</v>
      </c>
      <c r="O1648" s="15"/>
      <c r="P1648" s="6">
        <v>42730.467986111107</v>
      </c>
      <c r="Q1648" s="17" t="s">
        <v>216</v>
      </c>
      <c r="R1648" s="16" t="s">
        <v>1415</v>
      </c>
      <c r="S1648" s="12"/>
      <c r="T1648" s="12"/>
      <c r="U1648" s="10" t="str">
        <f>HYPERLINK("https://pbs.twimg.com/profile_images/867004705997815808/ix8YmEyh.jpg","View")</f>
        <v>View</v>
      </c>
    </row>
    <row r="1649" spans="1:21" ht="30.6">
      <c r="A1649" s="6">
        <v>43423.318460648152</v>
      </c>
      <c r="B1649" s="7" t="str">
        <f>HYPERLINK("https://twitter.com/STudela","@STudela")</f>
        <v>@STudela</v>
      </c>
      <c r="C1649" s="8" t="s">
        <v>5834</v>
      </c>
      <c r="D1649" s="9" t="s">
        <v>5835</v>
      </c>
      <c r="E1649" s="10" t="str">
        <f>HYPERLINK("https://twitter.com/STudela/status/1064543465969725442","1064543465969725442")</f>
        <v>1064543465969725442</v>
      </c>
      <c r="F1649" s="11" t="s">
        <v>320</v>
      </c>
      <c r="G1649" s="12"/>
      <c r="H1649" s="12"/>
      <c r="I1649" s="13">
        <v>0</v>
      </c>
      <c r="J1649" s="13">
        <v>0</v>
      </c>
      <c r="K1649" s="14" t="str">
        <f t="shared" si="306"/>
        <v>Twitter for Android</v>
      </c>
      <c r="L1649" s="13">
        <v>820</v>
      </c>
      <c r="M1649" s="13">
        <v>1309</v>
      </c>
      <c r="N1649" s="13">
        <v>25</v>
      </c>
      <c r="O1649" s="15"/>
      <c r="P1649" s="6">
        <v>40675.00304398148</v>
      </c>
      <c r="Q1649" s="17" t="s">
        <v>419</v>
      </c>
      <c r="R1649" s="16" t="s">
        <v>5836</v>
      </c>
      <c r="S1649" s="12"/>
      <c r="T1649" s="12"/>
      <c r="U1649" s="10" t="str">
        <f>HYPERLINK("https://pbs.twimg.com/profile_images/956498274973835264/JtR0T70P.jpg","View")</f>
        <v>View</v>
      </c>
    </row>
    <row r="1650" spans="1:21" ht="30.6">
      <c r="A1650" s="6">
        <v>43423.317650462966</v>
      </c>
      <c r="B1650" s="7" t="str">
        <f>HYPERLINK("https://twitter.com/Cambio16","@Cambio16")</f>
        <v>@Cambio16</v>
      </c>
      <c r="C1650" s="8" t="s">
        <v>953</v>
      </c>
      <c r="D1650" s="9" t="s">
        <v>5837</v>
      </c>
      <c r="E1650" s="10" t="str">
        <f>HYPERLINK("https://twitter.com/Cambio16/status/1064543172599132160","1064543172599132160")</f>
        <v>1064543172599132160</v>
      </c>
      <c r="F1650" s="11" t="s">
        <v>5838</v>
      </c>
      <c r="G1650" s="11" t="s">
        <v>5839</v>
      </c>
      <c r="H1650" s="12"/>
      <c r="I1650" s="13">
        <v>0</v>
      </c>
      <c r="J1650" s="13">
        <v>0</v>
      </c>
      <c r="K1650" s="14" t="str">
        <f>HYPERLINK("http://twitter.com","Twitter Web Client")</f>
        <v>Twitter Web Client</v>
      </c>
      <c r="L1650" s="13">
        <v>17345</v>
      </c>
      <c r="M1650" s="13">
        <v>765</v>
      </c>
      <c r="N1650" s="13">
        <v>499</v>
      </c>
      <c r="O1650" s="15"/>
      <c r="P1650" s="6">
        <v>40341.117245370369</v>
      </c>
      <c r="Q1650" s="17" t="s">
        <v>143</v>
      </c>
      <c r="R1650" s="16" t="s">
        <v>958</v>
      </c>
      <c r="S1650" s="11" t="s">
        <v>959</v>
      </c>
      <c r="T1650" s="12"/>
      <c r="U1650" s="10" t="str">
        <f>HYPERLINK("https://pbs.twimg.com/profile_images/1060221846208069632/vJfJ3_T5.jpg","View")</f>
        <v>View</v>
      </c>
    </row>
    <row r="1651" spans="1:21" ht="40.799999999999997">
      <c r="A1651" s="6">
        <v>43423.31763888889</v>
      </c>
      <c r="B1651" s="7" t="str">
        <f>HYPERLINK("https://twitter.com/PPAsamblea","@PPAsamblea")</f>
        <v>@PPAsamblea</v>
      </c>
      <c r="C1651" s="8" t="s">
        <v>5840</v>
      </c>
      <c r="D1651" s="9" t="s">
        <v>5841</v>
      </c>
      <c r="E1651" s="10" t="str">
        <f>HYPERLINK("https://twitter.com/PPAsamblea/status/1064543169415655424","1064543169415655424")</f>
        <v>1064543169415655424</v>
      </c>
      <c r="F1651" s="11" t="s">
        <v>5842</v>
      </c>
      <c r="G1651" s="11" t="s">
        <v>5843</v>
      </c>
      <c r="H1651" s="12"/>
      <c r="I1651" s="13">
        <v>4</v>
      </c>
      <c r="J1651" s="13">
        <v>8</v>
      </c>
      <c r="K1651" s="14" t="str">
        <f>HYPERLINK("https://studio.twitter.com","Media Studio")</f>
        <v>Media Studio</v>
      </c>
      <c r="L1651" s="13">
        <v>17034</v>
      </c>
      <c r="M1651" s="13">
        <v>2336</v>
      </c>
      <c r="N1651" s="13">
        <v>326</v>
      </c>
      <c r="O1651" s="19" t="s">
        <v>74</v>
      </c>
      <c r="P1651" s="6">
        <v>40036.18277777778</v>
      </c>
      <c r="Q1651" s="17" t="s">
        <v>26</v>
      </c>
      <c r="R1651" s="16" t="s">
        <v>5844</v>
      </c>
      <c r="S1651" s="11" t="s">
        <v>5845</v>
      </c>
      <c r="T1651" s="12"/>
      <c r="U1651" s="10" t="str">
        <f>HYPERLINK("https://pbs.twimg.com/profile_images/1013719742048358401/TPKhLiEm.jpg","View")</f>
        <v>View</v>
      </c>
    </row>
    <row r="1652" spans="1:21" ht="20.399999999999999">
      <c r="A1652" s="6">
        <v>43423.315972222219</v>
      </c>
      <c r="B1652" s="7" t="str">
        <f>HYPERLINK("https://twitter.com/eldiarioes","@eldiarioes")</f>
        <v>@eldiarioes</v>
      </c>
      <c r="C1652" s="20" t="s">
        <v>687</v>
      </c>
      <c r="D1652" s="9" t="s">
        <v>5846</v>
      </c>
      <c r="E1652" s="10" t="str">
        <f>HYPERLINK("https://twitter.com/eldiarioes/status/1064542565028876288","1064542565028876288")</f>
        <v>1064542565028876288</v>
      </c>
      <c r="F1652" s="11" t="s">
        <v>5453</v>
      </c>
      <c r="G1652" s="11" t="s">
        <v>5847</v>
      </c>
      <c r="H1652" s="12"/>
      <c r="I1652" s="13">
        <v>15</v>
      </c>
      <c r="J1652" s="13">
        <v>5</v>
      </c>
      <c r="K1652" s="14" t="str">
        <f>HYPERLINK("https://about.twitter.com/products/tweetdeck","TweetDeck")</f>
        <v>TweetDeck</v>
      </c>
      <c r="L1652" s="13">
        <v>936615</v>
      </c>
      <c r="M1652" s="13">
        <v>456</v>
      </c>
      <c r="N1652" s="13">
        <v>11235</v>
      </c>
      <c r="O1652" s="19" t="s">
        <v>74</v>
      </c>
      <c r="P1652" s="6">
        <v>40992.505856481483</v>
      </c>
      <c r="Q1652" s="12"/>
      <c r="R1652" s="16" t="s">
        <v>692</v>
      </c>
      <c r="S1652" s="11" t="s">
        <v>693</v>
      </c>
      <c r="T1652" s="12"/>
      <c r="U1652" s="10" t="str">
        <f>HYPERLINK("https://pbs.twimg.com/profile_images/1016600645292511232/eYIkIK2s.jpg","View")</f>
        <v>View</v>
      </c>
    </row>
    <row r="1653" spans="1:21" ht="20.399999999999999">
      <c r="A1653" s="6">
        <v>43423.308865740742</v>
      </c>
      <c r="B1653" s="7" t="str">
        <f>HYPERLINK("https://twitter.com/AlfonsoRojoPD","@AlfonsoRojoPD")</f>
        <v>@AlfonsoRojoPD</v>
      </c>
      <c r="C1653" s="8" t="s">
        <v>5848</v>
      </c>
      <c r="D1653" s="9" t="s">
        <v>5849</v>
      </c>
      <c r="E1653" s="10" t="str">
        <f>HYPERLINK("https://twitter.com/AlfonsoRojoPD/status/1064539991626403840","1064539991626403840")</f>
        <v>1064539991626403840</v>
      </c>
      <c r="F1653" s="11" t="s">
        <v>5850</v>
      </c>
      <c r="G1653" s="12"/>
      <c r="H1653" s="12"/>
      <c r="I1653" s="13">
        <v>1</v>
      </c>
      <c r="J1653" s="13">
        <v>2</v>
      </c>
      <c r="K1653" s="14" t="str">
        <f>HYPERLINK("http://twitter.com","Twitter Web Client")</f>
        <v>Twitter Web Client</v>
      </c>
      <c r="L1653" s="13">
        <v>48930</v>
      </c>
      <c r="M1653" s="13">
        <v>0</v>
      </c>
      <c r="N1653" s="13">
        <v>670</v>
      </c>
      <c r="O1653" s="19" t="s">
        <v>74</v>
      </c>
      <c r="P1653" s="6">
        <v>41704.072048611109</v>
      </c>
      <c r="Q1653" s="17" t="s">
        <v>76</v>
      </c>
      <c r="R1653" s="16" t="s">
        <v>5851</v>
      </c>
      <c r="S1653" s="11" t="s">
        <v>4440</v>
      </c>
      <c r="T1653" s="12"/>
      <c r="U1653" s="10" t="str">
        <f>HYPERLINK("https://pbs.twimg.com/profile_images/441511791210663936/QbI_6aXh.jpeg","View")</f>
        <v>View</v>
      </c>
    </row>
    <row r="1654" spans="1:21" ht="40.799999999999997">
      <c r="A1654" s="6">
        <v>43423.306643518517</v>
      </c>
      <c r="B1654" s="7" t="str">
        <f>HYPERLINK("https://twitter.com/cregonsa","@cregonsa")</f>
        <v>@cregonsa</v>
      </c>
      <c r="C1654" s="8" t="s">
        <v>5852</v>
      </c>
      <c r="D1654" s="9" t="s">
        <v>5853</v>
      </c>
      <c r="E1654" s="10" t="str">
        <f>HYPERLINK("https://twitter.com/cregonsa/status/1064539183660847107","1064539183660847107")</f>
        <v>1064539183660847107</v>
      </c>
      <c r="F1654" s="11" t="s">
        <v>5850</v>
      </c>
      <c r="G1654" s="12"/>
      <c r="H1654" s="12"/>
      <c r="I1654" s="13">
        <v>0</v>
      </c>
      <c r="J1654" s="13">
        <v>0</v>
      </c>
      <c r="K1654" s="14" t="str">
        <f t="shared" ref="K1654:K1655" si="307">HYPERLINK("http://twitter.com/download/android","Twitter for Android")</f>
        <v>Twitter for Android</v>
      </c>
      <c r="L1654" s="13">
        <v>1621</v>
      </c>
      <c r="M1654" s="13">
        <v>1509</v>
      </c>
      <c r="N1654" s="13">
        <v>26</v>
      </c>
      <c r="O1654" s="15"/>
      <c r="P1654" s="6">
        <v>40483.025856481479</v>
      </c>
      <c r="Q1654" s="17" t="s">
        <v>76</v>
      </c>
      <c r="R1654" s="16" t="s">
        <v>5854</v>
      </c>
      <c r="S1654" s="12"/>
      <c r="T1654" s="12"/>
      <c r="U1654" s="10" t="str">
        <f>HYPERLINK("https://pbs.twimg.com/profile_images/868739621496250368/4Pkf-Nzx.jpg","View")</f>
        <v>View</v>
      </c>
    </row>
    <row r="1655" spans="1:21" ht="20.399999999999999">
      <c r="A1655" s="6">
        <v>43423.306388888886</v>
      </c>
      <c r="B1655" s="7" t="str">
        <f>HYPERLINK("https://twitter.com/MBoiso","@MBoiso")</f>
        <v>@MBoiso</v>
      </c>
      <c r="C1655" s="8" t="s">
        <v>5855</v>
      </c>
      <c r="D1655" s="9" t="s">
        <v>5856</v>
      </c>
      <c r="E1655" s="10" t="str">
        <f>HYPERLINK("https://twitter.com/MBoiso/status/1064539092208287744","1064539092208287744")</f>
        <v>1064539092208287744</v>
      </c>
      <c r="F1655" s="12"/>
      <c r="G1655" s="12"/>
      <c r="H1655" s="12"/>
      <c r="I1655" s="13">
        <v>0</v>
      </c>
      <c r="J1655" s="13">
        <v>8</v>
      </c>
      <c r="K1655" s="14" t="str">
        <f t="shared" si="307"/>
        <v>Twitter for Android</v>
      </c>
      <c r="L1655" s="13">
        <v>466</v>
      </c>
      <c r="M1655" s="13">
        <v>397</v>
      </c>
      <c r="N1655" s="13">
        <v>14</v>
      </c>
      <c r="O1655" s="15"/>
      <c r="P1655" s="6">
        <v>40989.650671296295</v>
      </c>
      <c r="Q1655" s="17" t="s">
        <v>5857</v>
      </c>
      <c r="R1655" s="16" t="s">
        <v>5858</v>
      </c>
      <c r="S1655" s="11" t="s">
        <v>5859</v>
      </c>
      <c r="T1655" s="12"/>
      <c r="U1655" s="10" t="str">
        <f>HYPERLINK("https://pbs.twimg.com/profile_images/983687412948914176/A3JLkulV.jpg","View")</f>
        <v>View</v>
      </c>
    </row>
    <row r="1656" spans="1:21" ht="30.6">
      <c r="A1656" s="6">
        <v>43423.305428240739</v>
      </c>
      <c r="B1656" s="7" t="str">
        <f>HYPERLINK("https://twitter.com/pauaquell1","@pauaquell1")</f>
        <v>@pauaquell1</v>
      </c>
      <c r="C1656" s="8" t="s">
        <v>5860</v>
      </c>
      <c r="D1656" s="9" t="s">
        <v>5861</v>
      </c>
      <c r="E1656" s="10" t="str">
        <f>HYPERLINK("https://twitter.com/pauaquell1/status/1064538744592785409","1064538744592785409")</f>
        <v>1064538744592785409</v>
      </c>
      <c r="F1656" s="17" t="s">
        <v>5862</v>
      </c>
      <c r="G1656" s="12"/>
      <c r="H1656" s="12"/>
      <c r="I1656" s="13">
        <v>3</v>
      </c>
      <c r="J1656" s="13">
        <v>2</v>
      </c>
      <c r="K1656" s="14" t="str">
        <f>HYPERLINK("http://twitter.com","Twitter Web Client")</f>
        <v>Twitter Web Client</v>
      </c>
      <c r="L1656" s="13">
        <v>1094</v>
      </c>
      <c r="M1656" s="13">
        <v>1544</v>
      </c>
      <c r="N1656" s="13">
        <v>3</v>
      </c>
      <c r="O1656" s="15"/>
      <c r="P1656" s="6">
        <v>41913.005173611113</v>
      </c>
      <c r="Q1656" s="17" t="s">
        <v>5863</v>
      </c>
      <c r="R1656" s="16" t="s">
        <v>5864</v>
      </c>
      <c r="S1656" s="12"/>
      <c r="T1656" s="12"/>
      <c r="U1656" s="10" t="str">
        <f>HYPERLINK("https://pbs.twimg.com/profile_images/656169474459049989/TxdgPDbr.jpg","View")</f>
        <v>View</v>
      </c>
    </row>
    <row r="1657" spans="1:21" ht="30.6">
      <c r="A1657" s="6">
        <v>43423.302951388891</v>
      </c>
      <c r="B1657" s="7" t="str">
        <f>HYPERLINK("https://twitter.com/josemssantos","@josemssantos")</f>
        <v>@josemssantos</v>
      </c>
      <c r="C1657" s="8" t="s">
        <v>5865</v>
      </c>
      <c r="D1657" s="9" t="s">
        <v>5866</v>
      </c>
      <c r="E1657" s="10" t="str">
        <f>HYPERLINK("https://twitter.com/josemssantos/status/1064537847485669376","1064537847485669376")</f>
        <v>1064537847485669376</v>
      </c>
      <c r="F1657" s="11" t="s">
        <v>4961</v>
      </c>
      <c r="G1657" s="12"/>
      <c r="H1657" s="12"/>
      <c r="I1657" s="13">
        <v>0</v>
      </c>
      <c r="J1657" s="13">
        <v>0</v>
      </c>
      <c r="K1657" s="14" t="str">
        <f>HYPERLINK("http://twitter.com/download/android","Twitter for Android")</f>
        <v>Twitter for Android</v>
      </c>
      <c r="L1657" s="13">
        <v>1751</v>
      </c>
      <c r="M1657" s="13">
        <v>1298</v>
      </c>
      <c r="N1657" s="13">
        <v>48</v>
      </c>
      <c r="O1657" s="15"/>
      <c r="P1657" s="6">
        <v>39699.636192129634</v>
      </c>
      <c r="Q1657" s="17" t="s">
        <v>5867</v>
      </c>
      <c r="R1657" s="30" t="s">
        <v>5868</v>
      </c>
      <c r="S1657" s="11" t="s">
        <v>5869</v>
      </c>
      <c r="T1657" s="12"/>
      <c r="U1657" s="10" t="str">
        <f>HYPERLINK("https://pbs.twimg.com/profile_images/912371117389746176/-y7ccEM9.jpg","View")</f>
        <v>View</v>
      </c>
    </row>
    <row r="1658" spans="1:21" ht="51">
      <c r="A1658" s="6">
        <v>43423.301423611112</v>
      </c>
      <c r="B1658" s="7" t="str">
        <f>HYPERLINK("https://twitter.com/meneame_net","@meneame_net")</f>
        <v>@meneame_net</v>
      </c>
      <c r="C1658" s="8" t="s">
        <v>5870</v>
      </c>
      <c r="D1658" s="9" t="s">
        <v>5871</v>
      </c>
      <c r="E1658" s="10" t="str">
        <f>HYPERLINK("https://twitter.com/meneame_net/status/1064537292046561280","1064537292046561280")</f>
        <v>1064537292046561280</v>
      </c>
      <c r="F1658" s="11" t="s">
        <v>5872</v>
      </c>
      <c r="G1658" s="12"/>
      <c r="H1658" s="12"/>
      <c r="I1658" s="13">
        <v>1</v>
      </c>
      <c r="J1658" s="13">
        <v>0</v>
      </c>
      <c r="K1658" s="14" t="str">
        <f>HYPERLINK("http://www.meneame.net","Menéame  posts")</f>
        <v>Menéame  posts</v>
      </c>
      <c r="L1658" s="13">
        <v>237426</v>
      </c>
      <c r="M1658" s="13">
        <v>7</v>
      </c>
      <c r="N1658" s="13">
        <v>6195</v>
      </c>
      <c r="O1658" s="19" t="s">
        <v>74</v>
      </c>
      <c r="P1658" s="6">
        <v>39303.190486111111</v>
      </c>
      <c r="Q1658" s="17" t="s">
        <v>5873</v>
      </c>
      <c r="R1658" s="16" t="s">
        <v>5874</v>
      </c>
      <c r="S1658" s="11" t="s">
        <v>5875</v>
      </c>
      <c r="T1658" s="12"/>
      <c r="U1658" s="10" t="str">
        <f>HYPERLINK("https://pbs.twimg.com/profile_images/2612468613/71m9m2e950c578cle23n.png","View")</f>
        <v>View</v>
      </c>
    </row>
    <row r="1659" spans="1:21" ht="30.6">
      <c r="A1659" s="6">
        <v>43423.300509259258</v>
      </c>
      <c r="B1659" s="7" t="str">
        <f>HYPERLINK("https://twitter.com/PedroPmotero","@PedroPmotero")</f>
        <v>@PedroPmotero</v>
      </c>
      <c r="C1659" s="8" t="s">
        <v>1057</v>
      </c>
      <c r="D1659" s="21" t="s">
        <v>5876</v>
      </c>
      <c r="E1659" s="10" t="str">
        <f>HYPERLINK("https://twitter.com/PedroPmotero/status/1064536963880034310","1064536963880034310")</f>
        <v>1064536963880034310</v>
      </c>
      <c r="F1659" s="11" t="s">
        <v>5877</v>
      </c>
      <c r="G1659" s="12"/>
      <c r="H1659" s="12"/>
      <c r="I1659" s="13">
        <v>1</v>
      </c>
      <c r="J1659" s="13">
        <v>4</v>
      </c>
      <c r="K1659" s="14" t="str">
        <f>HYPERLINK("http://twitter.com","Twitter Web Client")</f>
        <v>Twitter Web Client</v>
      </c>
      <c r="L1659" s="13">
        <v>15402</v>
      </c>
      <c r="M1659" s="13">
        <v>10701</v>
      </c>
      <c r="N1659" s="13">
        <v>105</v>
      </c>
      <c r="O1659" s="15"/>
      <c r="P1659" s="6">
        <v>40949.024178240739</v>
      </c>
      <c r="Q1659" s="17" t="s">
        <v>1058</v>
      </c>
      <c r="R1659" s="16" t="s">
        <v>1059</v>
      </c>
      <c r="S1659" s="12"/>
      <c r="T1659" s="12"/>
      <c r="U1659" s="10" t="str">
        <f>HYPERLINK("https://pbs.twimg.com/profile_images/1060236053385220096/HHWME8I9.jpg","View")</f>
        <v>View</v>
      </c>
    </row>
    <row r="1660" spans="1:21" ht="51">
      <c r="A1660" s="6">
        <v>43423.299733796295</v>
      </c>
      <c r="B1660" s="7" t="str">
        <f>HYPERLINK("https://twitter.com/Rous77377853","@Rous77377853")</f>
        <v>@Rous77377853</v>
      </c>
      <c r="C1660" s="8" t="s">
        <v>4368</v>
      </c>
      <c r="D1660" s="9" t="s">
        <v>5878</v>
      </c>
      <c r="E1660" s="10" t="str">
        <f>HYPERLINK("https://twitter.com/Rous77377853/status/1064536679518736386","1064536679518736386")</f>
        <v>1064536679518736386</v>
      </c>
      <c r="F1660" s="11" t="s">
        <v>5879</v>
      </c>
      <c r="G1660" s="12"/>
      <c r="H1660" s="12"/>
      <c r="I1660" s="13">
        <v>0</v>
      </c>
      <c r="J1660" s="13">
        <v>0</v>
      </c>
      <c r="K1660" s="14" t="str">
        <f t="shared" ref="K1660:K1661" si="308">HYPERLINK("http://twitter.com/download/android","Twitter for Android")</f>
        <v>Twitter for Android</v>
      </c>
      <c r="L1660" s="13">
        <v>1630</v>
      </c>
      <c r="M1660" s="13">
        <v>1606</v>
      </c>
      <c r="N1660" s="13">
        <v>6</v>
      </c>
      <c r="O1660" s="15"/>
      <c r="P1660" s="6">
        <v>42761.31040509259</v>
      </c>
      <c r="Q1660" s="12"/>
      <c r="R1660" s="16" t="s">
        <v>4370</v>
      </c>
      <c r="S1660" s="12"/>
      <c r="T1660" s="12"/>
      <c r="U1660" s="10" t="str">
        <f>HYPERLINK("https://pbs.twimg.com/profile_images/1033648984324227072/FGDdCYTJ.jpg","View")</f>
        <v>View</v>
      </c>
    </row>
    <row r="1661" spans="1:21" ht="30.6">
      <c r="A1661" s="6">
        <v>43423.297916666663</v>
      </c>
      <c r="B1661" s="7" t="str">
        <f>HYPERLINK("https://twitter.com/thcykxllmsckboi","@thcykxllmsckboi")</f>
        <v>@thcykxllmsckboi</v>
      </c>
      <c r="C1661" s="8" t="s">
        <v>5880</v>
      </c>
      <c r="D1661" s="9" t="s">
        <v>5881</v>
      </c>
      <c r="E1661" s="10" t="str">
        <f>HYPERLINK("https://twitter.com/thcykxllmsckboi/status/1064536021570912257","1064536021570912257")</f>
        <v>1064536021570912257</v>
      </c>
      <c r="F1661" s="12"/>
      <c r="G1661" s="12"/>
      <c r="H1661" s="12"/>
      <c r="I1661" s="13">
        <v>1</v>
      </c>
      <c r="J1661" s="13">
        <v>3</v>
      </c>
      <c r="K1661" s="14" t="str">
        <f t="shared" si="308"/>
        <v>Twitter for Android</v>
      </c>
      <c r="L1661" s="13">
        <v>181</v>
      </c>
      <c r="M1661" s="13">
        <v>297</v>
      </c>
      <c r="N1661" s="13">
        <v>1</v>
      </c>
      <c r="O1661" s="15"/>
      <c r="P1661" s="6">
        <v>42399.551400462966</v>
      </c>
      <c r="Q1661" s="17" t="s">
        <v>5882</v>
      </c>
      <c r="R1661" s="16" t="s">
        <v>5883</v>
      </c>
      <c r="S1661" s="12"/>
      <c r="T1661" s="12"/>
      <c r="U1661" s="10" t="str">
        <f>HYPERLINK("https://pbs.twimg.com/profile_images/1065347265659846658/ZCtDE9H0.jpg","View")</f>
        <v>View</v>
      </c>
    </row>
    <row r="1662" spans="1:21" ht="40.799999999999997">
      <c r="A1662" s="6">
        <v>43423.296678240746</v>
      </c>
      <c r="B1662" s="7" t="str">
        <f>HYPERLINK("https://twitter.com/sanchezfornet","@sanchezfornet")</f>
        <v>@sanchezfornet</v>
      </c>
      <c r="C1662" s="8" t="s">
        <v>5884</v>
      </c>
      <c r="D1662" s="9" t="s">
        <v>5885</v>
      </c>
      <c r="E1662" s="10" t="str">
        <f>HYPERLINK("https://twitter.com/sanchezfornet/status/1064535575456305157","1064535575456305157")</f>
        <v>1064535575456305157</v>
      </c>
      <c r="F1662" s="12"/>
      <c r="G1662" s="12"/>
      <c r="H1662" s="12"/>
      <c r="I1662" s="13">
        <v>2</v>
      </c>
      <c r="J1662" s="13">
        <v>2</v>
      </c>
      <c r="K1662" s="14" t="str">
        <f>HYPERLINK("http://twitter.com","Twitter Web Client")</f>
        <v>Twitter Web Client</v>
      </c>
      <c r="L1662" s="13">
        <v>11161</v>
      </c>
      <c r="M1662" s="13">
        <v>961</v>
      </c>
      <c r="N1662" s="13">
        <v>195</v>
      </c>
      <c r="O1662" s="15"/>
      <c r="P1662" s="6">
        <v>40855.00340277778</v>
      </c>
      <c r="Q1662" s="12"/>
      <c r="R1662" s="16" t="s">
        <v>5886</v>
      </c>
      <c r="S1662" s="11" t="s">
        <v>5887</v>
      </c>
      <c r="T1662" s="12"/>
      <c r="U1662" s="10" t="str">
        <f>HYPERLINK("https://pbs.twimg.com/profile_images/1061332279744782342/-VR3t5Qx.jpg","View")</f>
        <v>View</v>
      </c>
    </row>
    <row r="1663" spans="1:21" ht="20.399999999999999">
      <c r="A1663" s="6">
        <v>43423.293715277774</v>
      </c>
      <c r="B1663" s="7" t="str">
        <f>HYPERLINK("https://twitter.com/Isaac__am","@Isaac__am")</f>
        <v>@Isaac__am</v>
      </c>
      <c r="C1663" s="8" t="s">
        <v>5888</v>
      </c>
      <c r="D1663" s="9" t="s">
        <v>4365</v>
      </c>
      <c r="E1663" s="10" t="str">
        <f>HYPERLINK("https://twitter.com/Isaac__am/status/1064534501680996353","1064534501680996353")</f>
        <v>1064534501680996353</v>
      </c>
      <c r="F1663" s="11" t="s">
        <v>5889</v>
      </c>
      <c r="G1663" s="12"/>
      <c r="H1663" s="12"/>
      <c r="I1663" s="13">
        <v>0</v>
      </c>
      <c r="J1663" s="13">
        <v>0</v>
      </c>
      <c r="K1663" s="14" t="str">
        <f>HYPERLINK("http://twitter.com/download/android","Twitter for Android")</f>
        <v>Twitter for Android</v>
      </c>
      <c r="L1663" s="13">
        <v>699</v>
      </c>
      <c r="M1663" s="13">
        <v>1509</v>
      </c>
      <c r="N1663" s="13">
        <v>5</v>
      </c>
      <c r="O1663" s="15"/>
      <c r="P1663" s="6">
        <v>43088.134953703702</v>
      </c>
      <c r="Q1663" s="17" t="s">
        <v>5890</v>
      </c>
      <c r="R1663" s="16" t="s">
        <v>5891</v>
      </c>
      <c r="S1663" s="11" t="s">
        <v>5892</v>
      </c>
      <c r="T1663" s="12"/>
      <c r="U1663" s="10" t="str">
        <f>HYPERLINK("https://pbs.twimg.com/profile_images/1057390328863440900/jBrxICq0.jpg","View")</f>
        <v>View</v>
      </c>
    </row>
    <row r="1664" spans="1:21" ht="20.399999999999999">
      <c r="A1664" s="6">
        <v>43423.288935185185</v>
      </c>
      <c r="B1664" s="7" t="str">
        <f>HYPERLINK("https://twitter.com/ni1dea","@ni1dea")</f>
        <v>@ni1dea</v>
      </c>
      <c r="C1664" s="8" t="s">
        <v>5893</v>
      </c>
      <c r="D1664" s="9" t="s">
        <v>4418</v>
      </c>
      <c r="E1664" s="10" t="str">
        <f>HYPERLINK("https://twitter.com/ni1dea/status/1064532769496272897","1064532769496272897")</f>
        <v>1064532769496272897</v>
      </c>
      <c r="F1664" s="11" t="s">
        <v>3031</v>
      </c>
      <c r="G1664" s="12"/>
      <c r="H1664" s="12"/>
      <c r="I1664" s="13">
        <v>0</v>
      </c>
      <c r="J1664" s="13">
        <v>0</v>
      </c>
      <c r="K1664" s="14" t="str">
        <f>HYPERLINK("http://twitter.com","Twitter Web Client")</f>
        <v>Twitter Web Client</v>
      </c>
      <c r="L1664" s="13">
        <v>1528</v>
      </c>
      <c r="M1664" s="13">
        <v>1516</v>
      </c>
      <c r="N1664" s="13">
        <v>15</v>
      </c>
      <c r="O1664" s="15"/>
      <c r="P1664" s="6">
        <v>40333.947696759264</v>
      </c>
      <c r="Q1664" s="12"/>
      <c r="R1664" s="16" t="s">
        <v>5894</v>
      </c>
      <c r="S1664" s="12"/>
      <c r="T1664" s="12"/>
      <c r="U1664" s="10" t="str">
        <f>HYPERLINK("https://pbs.twimg.com/profile_images/920549149015027712/JGc9iwz_.jpg","View")</f>
        <v>View</v>
      </c>
    </row>
    <row r="1665" spans="1:21" ht="20.399999999999999">
      <c r="A1665" s="6">
        <v>43423.285717592589</v>
      </c>
      <c r="B1665" s="7" t="str">
        <f>HYPERLINK("https://twitter.com/SirMultifandom","@SirMultifandom")</f>
        <v>@SirMultifandom</v>
      </c>
      <c r="C1665" s="8" t="s">
        <v>5895</v>
      </c>
      <c r="D1665" s="9" t="s">
        <v>5896</v>
      </c>
      <c r="E1665" s="10" t="str">
        <f>HYPERLINK("https://twitter.com/SirMultifandom/status/1064531599604293632","1064531599604293632")</f>
        <v>1064531599604293632</v>
      </c>
      <c r="F1665" s="12"/>
      <c r="G1665" s="12"/>
      <c r="H1665" s="12"/>
      <c r="I1665" s="13">
        <v>0</v>
      </c>
      <c r="J1665" s="13">
        <v>0</v>
      </c>
      <c r="K1665" s="14" t="str">
        <f t="shared" ref="K1665:K1669" si="309">HYPERLINK("http://twitter.com/download/android","Twitter for Android")</f>
        <v>Twitter for Android</v>
      </c>
      <c r="L1665" s="13">
        <v>948</v>
      </c>
      <c r="M1665" s="13">
        <v>1684</v>
      </c>
      <c r="N1665" s="13">
        <v>15</v>
      </c>
      <c r="O1665" s="15"/>
      <c r="P1665" s="6">
        <v>41043.447488425925</v>
      </c>
      <c r="Q1665" s="17" t="s">
        <v>5897</v>
      </c>
      <c r="R1665" s="16" t="s">
        <v>5898</v>
      </c>
      <c r="S1665" s="12"/>
      <c r="T1665" s="12"/>
      <c r="U1665" s="10" t="str">
        <f>HYPERLINK("https://pbs.twimg.com/profile_images/1059107657469124610/BIXjQaAW.jpg","View")</f>
        <v>View</v>
      </c>
    </row>
    <row r="1666" spans="1:21" ht="20.399999999999999">
      <c r="A1666" s="6">
        <v>43423.285104166665</v>
      </c>
      <c r="B1666" s="7" t="str">
        <f>HYPERLINK("https://twitter.com/majara0","@majara0")</f>
        <v>@majara0</v>
      </c>
      <c r="C1666" s="8" t="s">
        <v>1282</v>
      </c>
      <c r="D1666" s="9" t="s">
        <v>5899</v>
      </c>
      <c r="E1666" s="10" t="str">
        <f>HYPERLINK("https://twitter.com/majara0/status/1064531378585419777","1064531378585419777")</f>
        <v>1064531378585419777</v>
      </c>
      <c r="F1666" s="12"/>
      <c r="G1666" s="12"/>
      <c r="H1666" s="12"/>
      <c r="I1666" s="13">
        <v>3</v>
      </c>
      <c r="J1666" s="13">
        <v>19</v>
      </c>
      <c r="K1666" s="14" t="str">
        <f t="shared" si="309"/>
        <v>Twitter for Android</v>
      </c>
      <c r="L1666" s="13">
        <v>21503</v>
      </c>
      <c r="M1666" s="13">
        <v>532</v>
      </c>
      <c r="N1666" s="13">
        <v>356</v>
      </c>
      <c r="O1666" s="15"/>
      <c r="P1666" s="6">
        <v>41758.627708333333</v>
      </c>
      <c r="Q1666" s="11" t="s">
        <v>1284</v>
      </c>
      <c r="R1666" s="16" t="s">
        <v>1285</v>
      </c>
      <c r="S1666" s="11" t="s">
        <v>1286</v>
      </c>
      <c r="T1666" s="12"/>
      <c r="U1666" s="10" t="str">
        <f>HYPERLINK("https://pbs.twimg.com/profile_images/870010551069552640/17jVtRsw.jpg","View")</f>
        <v>View</v>
      </c>
    </row>
    <row r="1667" spans="1:21" ht="20.399999999999999">
      <c r="A1667" s="6">
        <v>43423.284386574072</v>
      </c>
      <c r="B1667" s="7" t="str">
        <f>HYPERLINK("https://twitter.com/CaldaroneCeres","@CaldaroneCeres")</f>
        <v>@CaldaroneCeres</v>
      </c>
      <c r="C1667" s="8" t="s">
        <v>5900</v>
      </c>
      <c r="D1667" s="9" t="s">
        <v>4365</v>
      </c>
      <c r="E1667" s="10" t="str">
        <f>HYPERLINK("https://twitter.com/CaldaroneCeres/status/1064531120149225473","1064531120149225473")</f>
        <v>1064531120149225473</v>
      </c>
      <c r="F1667" s="11" t="s">
        <v>5901</v>
      </c>
      <c r="G1667" s="12"/>
      <c r="H1667" s="12"/>
      <c r="I1667" s="13">
        <v>0</v>
      </c>
      <c r="J1667" s="13">
        <v>0</v>
      </c>
      <c r="K1667" s="14" t="str">
        <f t="shared" si="309"/>
        <v>Twitter for Android</v>
      </c>
      <c r="L1667" s="13">
        <v>3884</v>
      </c>
      <c r="M1667" s="13">
        <v>3861</v>
      </c>
      <c r="N1667" s="13">
        <v>14</v>
      </c>
      <c r="O1667" s="15"/>
      <c r="P1667" s="6">
        <v>42445.337731481486</v>
      </c>
      <c r="Q1667" s="12"/>
      <c r="R1667" s="18"/>
      <c r="S1667" s="12"/>
      <c r="T1667" s="12"/>
      <c r="U1667" s="10" t="str">
        <f>HYPERLINK("https://pbs.twimg.com/profile_images/710131309369303041/BSZUUUYP.jpg","View")</f>
        <v>View</v>
      </c>
    </row>
    <row r="1668" spans="1:21" ht="20.399999999999999">
      <c r="A1668" s="6">
        <v>43423.283958333333</v>
      </c>
      <c r="B1668" s="7" t="str">
        <f>HYPERLINK("https://twitter.com/sleepers_0","@sleepers_0")</f>
        <v>@sleepers_0</v>
      </c>
      <c r="C1668" s="8" t="s">
        <v>1956</v>
      </c>
      <c r="D1668" s="9" t="s">
        <v>5902</v>
      </c>
      <c r="E1668" s="10" t="str">
        <f>HYPERLINK("https://twitter.com/sleepers_0/status/1064530965878460421","1064530965878460421")</f>
        <v>1064530965878460421</v>
      </c>
      <c r="F1668" s="11" t="s">
        <v>320</v>
      </c>
      <c r="G1668" s="12"/>
      <c r="H1668" s="12"/>
      <c r="I1668" s="13">
        <v>0</v>
      </c>
      <c r="J1668" s="13">
        <v>0</v>
      </c>
      <c r="K1668" s="14" t="str">
        <f t="shared" si="309"/>
        <v>Twitter for Android</v>
      </c>
      <c r="L1668" s="13">
        <v>487</v>
      </c>
      <c r="M1668" s="13">
        <v>501</v>
      </c>
      <c r="N1668" s="13">
        <v>4</v>
      </c>
      <c r="O1668" s="15"/>
      <c r="P1668" s="6">
        <v>41826.205416666664</v>
      </c>
      <c r="Q1668" s="12"/>
      <c r="R1668" s="18"/>
      <c r="S1668" s="12"/>
      <c r="T1668" s="12"/>
      <c r="U1668" s="10" t="str">
        <f>HYPERLINK("https://pbs.twimg.com/profile_images/562000920494739457/t_VeZJTN.jpeg","View")</f>
        <v>View</v>
      </c>
    </row>
    <row r="1669" spans="1:21" ht="30.6">
      <c r="A1669" s="6">
        <v>43423.283275462964</v>
      </c>
      <c r="B1669" s="7" t="str">
        <f>HYPERLINK("https://twitter.com/eldiariois","@eldiariois")</f>
        <v>@eldiariois</v>
      </c>
      <c r="C1669" s="8" t="s">
        <v>5903</v>
      </c>
      <c r="D1669" s="9" t="s">
        <v>5904</v>
      </c>
      <c r="E1669" s="10" t="str">
        <f>HYPERLINK("https://twitter.com/eldiariois/status/1064530718007660544","1064530718007660544")</f>
        <v>1064530718007660544</v>
      </c>
      <c r="F1669" s="12"/>
      <c r="G1669" s="11" t="s">
        <v>5905</v>
      </c>
      <c r="H1669" s="12"/>
      <c r="I1669" s="13">
        <v>13</v>
      </c>
      <c r="J1669" s="13">
        <v>13</v>
      </c>
      <c r="K1669" s="14" t="str">
        <f t="shared" si="309"/>
        <v>Twitter for Android</v>
      </c>
      <c r="L1669" s="13">
        <v>132</v>
      </c>
      <c r="M1669" s="13">
        <v>2</v>
      </c>
      <c r="N1669" s="13">
        <v>0</v>
      </c>
      <c r="O1669" s="15"/>
      <c r="P1669" s="6">
        <v>43335.364085648151</v>
      </c>
      <c r="Q1669" s="17" t="s">
        <v>5906</v>
      </c>
      <c r="R1669" s="16" t="s">
        <v>5907</v>
      </c>
      <c r="S1669" s="11" t="s">
        <v>5908</v>
      </c>
      <c r="T1669" s="12"/>
      <c r="U1669" s="10" t="str">
        <f>HYPERLINK("https://pbs.twimg.com/profile_images/1064194490313916427/Jm1TCGqD.jpg","View")</f>
        <v>View</v>
      </c>
    </row>
    <row r="1670" spans="1:21" ht="20.399999999999999">
      <c r="A1670" s="6">
        <v>43423.283159722225</v>
      </c>
      <c r="B1670" s="7" t="str">
        <f>HYPERLINK("https://twitter.com/Filiburcio","@Filiburcio")</f>
        <v>@Filiburcio</v>
      </c>
      <c r="C1670" s="8" t="s">
        <v>5909</v>
      </c>
      <c r="D1670" s="9" t="s">
        <v>5910</v>
      </c>
      <c r="E1670" s="10" t="str">
        <f>HYPERLINK("https://twitter.com/Filiburcio/status/1064530675938848768","1064530675938848768")</f>
        <v>1064530675938848768</v>
      </c>
      <c r="F1670" s="12"/>
      <c r="G1670" s="12"/>
      <c r="H1670" s="12"/>
      <c r="I1670" s="13">
        <v>0</v>
      </c>
      <c r="J1670" s="13">
        <v>11</v>
      </c>
      <c r="K1670" s="14" t="str">
        <f>HYPERLINK("http://twitter.com","Twitter Web Client")</f>
        <v>Twitter Web Client</v>
      </c>
      <c r="L1670" s="13">
        <v>6801</v>
      </c>
      <c r="M1670" s="13">
        <v>881</v>
      </c>
      <c r="N1670" s="13">
        <v>119</v>
      </c>
      <c r="O1670" s="15"/>
      <c r="P1670" s="6">
        <v>40598.041203703702</v>
      </c>
      <c r="Q1670" s="12"/>
      <c r="R1670" s="16" t="s">
        <v>5911</v>
      </c>
      <c r="S1670" s="11" t="s">
        <v>5912</v>
      </c>
      <c r="T1670" s="12"/>
      <c r="U1670" s="10" t="str">
        <f>HYPERLINK("https://pbs.twimg.com/profile_images/1052199792455995393/UA9gdJ7r.jpg","View")</f>
        <v>View</v>
      </c>
    </row>
    <row r="1671" spans="1:21" ht="30.6">
      <c r="A1671" s="6">
        <v>43423.278287037036</v>
      </c>
      <c r="B1671" s="7" t="str">
        <f>HYPERLINK("https://twitter.com/pallaron12","@pallaron12")</f>
        <v>@pallaron12</v>
      </c>
      <c r="C1671" s="8" t="s">
        <v>4849</v>
      </c>
      <c r="D1671" s="9" t="s">
        <v>4850</v>
      </c>
      <c r="E1671" s="10" t="str">
        <f>HYPERLINK("https://twitter.com/pallaron12/status/1064528910669541377","1064528910669541377")</f>
        <v>1064528910669541377</v>
      </c>
      <c r="F1671" s="11" t="s">
        <v>4851</v>
      </c>
      <c r="G1671" s="12"/>
      <c r="H1671" s="12"/>
      <c r="I1671" s="13">
        <v>0</v>
      </c>
      <c r="J1671" s="13">
        <v>0</v>
      </c>
      <c r="K1671" s="14" t="str">
        <f t="shared" ref="K1671:K1673" si="310">HYPERLINK("http://twitter.com/download/android","Twitter for Android")</f>
        <v>Twitter for Android</v>
      </c>
      <c r="L1671" s="13">
        <v>1412</v>
      </c>
      <c r="M1671" s="13">
        <v>501</v>
      </c>
      <c r="N1671" s="13">
        <v>8</v>
      </c>
      <c r="O1671" s="15"/>
      <c r="P1671" s="6">
        <v>41854.28634259259</v>
      </c>
      <c r="Q1671" s="17" t="s">
        <v>4852</v>
      </c>
      <c r="R1671" s="16" t="s">
        <v>4853</v>
      </c>
      <c r="S1671" s="12"/>
      <c r="T1671" s="12"/>
      <c r="U1671" s="10" t="str">
        <f>HYPERLINK("https://pbs.twimg.com/profile_images/1064713832633896961/NkwZ7D9D.jpg","View")</f>
        <v>View</v>
      </c>
    </row>
    <row r="1672" spans="1:21" ht="30.6">
      <c r="A1672" s="6">
        <v>43423.273692129631</v>
      </c>
      <c r="B1672" s="7" t="str">
        <f>HYPERLINK("https://twitter.com/fromtheTartarus","@fromtheTartarus")</f>
        <v>@fromtheTartarus</v>
      </c>
      <c r="C1672" s="8" t="s">
        <v>2073</v>
      </c>
      <c r="D1672" s="9" t="s">
        <v>5913</v>
      </c>
      <c r="E1672" s="10" t="str">
        <f>HYPERLINK("https://twitter.com/fromtheTartarus/status/1064527244935204865","1064527244935204865")</f>
        <v>1064527244935204865</v>
      </c>
      <c r="F1672" s="12"/>
      <c r="G1672" s="12"/>
      <c r="H1672" s="12"/>
      <c r="I1672" s="13">
        <v>0</v>
      </c>
      <c r="J1672" s="13">
        <v>1</v>
      </c>
      <c r="K1672" s="14" t="str">
        <f t="shared" si="310"/>
        <v>Twitter for Android</v>
      </c>
      <c r="L1672" s="13">
        <v>1317</v>
      </c>
      <c r="M1672" s="13">
        <v>1331</v>
      </c>
      <c r="N1672" s="13">
        <v>0</v>
      </c>
      <c r="O1672" s="15"/>
      <c r="P1672" s="6">
        <v>41490.311990740738</v>
      </c>
      <c r="Q1672" s="12"/>
      <c r="R1672" s="16" t="s">
        <v>2075</v>
      </c>
      <c r="S1672" s="12"/>
      <c r="T1672" s="12"/>
      <c r="U1672" s="10" t="str">
        <f>HYPERLINK("https://pbs.twimg.com/profile_images/1053912689972523008/kZhxHvEO.jpg","View")</f>
        <v>View</v>
      </c>
    </row>
    <row r="1673" spans="1:21" ht="51">
      <c r="A1673" s="6">
        <v>43423.271643518514</v>
      </c>
      <c r="B1673" s="7" t="str">
        <f>HYPERLINK("https://twitter.com/BenderOfuscado","@BenderOfuscado")</f>
        <v>@BenderOfuscado</v>
      </c>
      <c r="C1673" s="8" t="s">
        <v>5914</v>
      </c>
      <c r="D1673" s="9" t="s">
        <v>5915</v>
      </c>
      <c r="E1673" s="10" t="str">
        <f>HYPERLINK("https://twitter.com/BenderOfuscado/status/1064526500224032769","1064526500224032769")</f>
        <v>1064526500224032769</v>
      </c>
      <c r="F1673" s="12"/>
      <c r="G1673" s="12"/>
      <c r="H1673" s="12"/>
      <c r="I1673" s="13">
        <v>13</v>
      </c>
      <c r="J1673" s="13">
        <v>15</v>
      </c>
      <c r="K1673" s="14" t="str">
        <f t="shared" si="310"/>
        <v>Twitter for Android</v>
      </c>
      <c r="L1673" s="13">
        <v>379</v>
      </c>
      <c r="M1673" s="13">
        <v>114</v>
      </c>
      <c r="N1673" s="13">
        <v>3</v>
      </c>
      <c r="O1673" s="15"/>
      <c r="P1673" s="6">
        <v>43024.559791666667</v>
      </c>
      <c r="Q1673" s="12"/>
      <c r="R1673" s="16" t="s">
        <v>5916</v>
      </c>
      <c r="S1673" s="12"/>
      <c r="T1673" s="12"/>
      <c r="U1673" s="10" t="str">
        <f>HYPERLINK("https://pbs.twimg.com/profile_images/1032296142674055169/HJToDVsj.jpg","View")</f>
        <v>View</v>
      </c>
    </row>
    <row r="1674" spans="1:21" ht="20.399999999999999">
      <c r="A1674" s="6">
        <v>43423.269803240742</v>
      </c>
      <c r="B1674" s="7" t="str">
        <f>HYPERLINK("https://twitter.com/BegotxuBoo","@BegotxuBoo")</f>
        <v>@BegotxuBoo</v>
      </c>
      <c r="C1674" s="8" t="s">
        <v>1964</v>
      </c>
      <c r="D1674" s="9" t="s">
        <v>5917</v>
      </c>
      <c r="E1674" s="10" t="str">
        <f>HYPERLINK("https://twitter.com/BegotxuBoo/status/1064525832801198080","1064525832801198080")</f>
        <v>1064525832801198080</v>
      </c>
      <c r="F1674" s="12"/>
      <c r="G1674" s="12"/>
      <c r="H1674" s="12"/>
      <c r="I1674" s="13">
        <v>8</v>
      </c>
      <c r="J1674" s="13">
        <v>30</v>
      </c>
      <c r="K1674" s="14" t="str">
        <f>HYPERLINK("http://twitter.com","Twitter Web Client")</f>
        <v>Twitter Web Client</v>
      </c>
      <c r="L1674" s="13">
        <v>13446</v>
      </c>
      <c r="M1674" s="13">
        <v>626</v>
      </c>
      <c r="N1674" s="13">
        <v>153</v>
      </c>
      <c r="O1674" s="15"/>
      <c r="P1674" s="6">
        <v>41150.160833333335</v>
      </c>
      <c r="Q1674" s="12"/>
      <c r="R1674" s="16" t="s">
        <v>1966</v>
      </c>
      <c r="S1674" s="12"/>
      <c r="T1674" s="12"/>
      <c r="U1674" s="10" t="str">
        <f>HYPERLINK("https://pbs.twimg.com/profile_images/534266200818483200/_78fiChL.jpeg","View")</f>
        <v>View</v>
      </c>
    </row>
    <row r="1675" spans="1:21" ht="51">
      <c r="A1675" s="6">
        <v>43423.259641203702</v>
      </c>
      <c r="B1675" s="7" t="str">
        <f>HYPERLINK("https://twitter.com/voxnoticias_es","@voxnoticias_es")</f>
        <v>@voxnoticias_es</v>
      </c>
      <c r="C1675" s="8" t="s">
        <v>5918</v>
      </c>
      <c r="D1675" s="9" t="s">
        <v>5919</v>
      </c>
      <c r="E1675" s="10" t="str">
        <f>HYPERLINK("https://twitter.com/voxnoticias_es/status/1064522150701408257","1064522150701408257")</f>
        <v>1064522150701408257</v>
      </c>
      <c r="F1675" s="12"/>
      <c r="G1675" s="11" t="s">
        <v>5920</v>
      </c>
      <c r="H1675" s="12"/>
      <c r="I1675" s="13">
        <v>331</v>
      </c>
      <c r="J1675" s="13">
        <v>498</v>
      </c>
      <c r="K1675" s="14" t="str">
        <f>HYPERLINK("http://twitter.com/download/android","Twitter for Android")</f>
        <v>Twitter for Android</v>
      </c>
      <c r="L1675" s="13">
        <v>19279</v>
      </c>
      <c r="M1675" s="13">
        <v>2124</v>
      </c>
      <c r="N1675" s="13">
        <v>134</v>
      </c>
      <c r="O1675" s="15"/>
      <c r="P1675" s="6">
        <v>41687.500428240739</v>
      </c>
      <c r="Q1675" s="17" t="s">
        <v>5921</v>
      </c>
      <c r="R1675" s="16" t="s">
        <v>5922</v>
      </c>
      <c r="S1675" s="11" t="s">
        <v>5923</v>
      </c>
      <c r="T1675" s="12"/>
      <c r="U1675" s="10" t="str">
        <f>HYPERLINK("https://pbs.twimg.com/profile_images/900432165195980801/-2-6PzuU.jpg","View")</f>
        <v>View</v>
      </c>
    </row>
    <row r="1676" spans="1:21" ht="30.6">
      <c r="A1676" s="6">
        <v>43423.256840277776</v>
      </c>
      <c r="B1676" s="7" t="str">
        <f>HYPERLINK("https://twitter.com/CatalunyaRadio","@CatalunyaRadio")</f>
        <v>@CatalunyaRadio</v>
      </c>
      <c r="C1676" s="8" t="s">
        <v>5924</v>
      </c>
      <c r="D1676" s="9" t="s">
        <v>5925</v>
      </c>
      <c r="E1676" s="10" t="str">
        <f>HYPERLINK("https://twitter.com/CatalunyaRadio/status/1064521138020261889","1064521138020261889")</f>
        <v>1064521138020261889</v>
      </c>
      <c r="F1676" s="11" t="s">
        <v>5926</v>
      </c>
      <c r="G1676" s="12"/>
      <c r="H1676" s="12"/>
      <c r="I1676" s="13">
        <v>2</v>
      </c>
      <c r="J1676" s="13">
        <v>2</v>
      </c>
      <c r="K1676" s="14" t="str">
        <f>HYPERLINK("http://twitter.com","Twitter Web Client")</f>
        <v>Twitter Web Client</v>
      </c>
      <c r="L1676" s="13">
        <v>211249</v>
      </c>
      <c r="M1676" s="13">
        <v>245</v>
      </c>
      <c r="N1676" s="13">
        <v>2437</v>
      </c>
      <c r="O1676" s="19" t="s">
        <v>74</v>
      </c>
      <c r="P1676" s="6">
        <v>39287.112708333334</v>
      </c>
      <c r="Q1676" s="17" t="s">
        <v>419</v>
      </c>
      <c r="R1676" s="16" t="s">
        <v>5927</v>
      </c>
      <c r="S1676" s="11" t="s">
        <v>5928</v>
      </c>
      <c r="T1676" s="12"/>
      <c r="U1676" s="10" t="str">
        <f>HYPERLINK("https://pbs.twimg.com/profile_images/899565676259618816/Dz00TZRv.jpg","View")</f>
        <v>View</v>
      </c>
    </row>
    <row r="1677" spans="1:21" ht="51">
      <c r="A1677" s="6">
        <v>43423.254259259258</v>
      </c>
      <c r="B1677" s="7" t="str">
        <f>HYPERLINK("https://twitter.com/Trwistte","@Trwistte")</f>
        <v>@Trwistte</v>
      </c>
      <c r="C1677" s="8" t="s">
        <v>5929</v>
      </c>
      <c r="D1677" s="9" t="s">
        <v>5930</v>
      </c>
      <c r="E1677" s="10" t="str">
        <f>HYPERLINK("https://twitter.com/Trwistte/status/1064520201230839809","1064520201230839809")</f>
        <v>1064520201230839809</v>
      </c>
      <c r="F1677" s="12"/>
      <c r="G1677" s="12"/>
      <c r="H1677" s="12"/>
      <c r="I1677" s="13">
        <v>0</v>
      </c>
      <c r="J1677" s="13">
        <v>2</v>
      </c>
      <c r="K1677" s="14" t="str">
        <f>HYPERLINK("http://twitter.com/download/iphone","Twitter for iPhone")</f>
        <v>Twitter for iPhone</v>
      </c>
      <c r="L1677" s="13">
        <v>1329</v>
      </c>
      <c r="M1677" s="13">
        <v>185</v>
      </c>
      <c r="N1677" s="13">
        <v>32</v>
      </c>
      <c r="O1677" s="15"/>
      <c r="P1677" s="6">
        <v>41367.433206018519</v>
      </c>
      <c r="Q1677" s="12"/>
      <c r="R1677" s="16" t="s">
        <v>5931</v>
      </c>
      <c r="S1677" s="12"/>
      <c r="T1677" s="12"/>
      <c r="U1677" s="10" t="str">
        <f>HYPERLINK("https://pbs.twimg.com/profile_images/686168600609177600/DDQBkqYM.jpg","View")</f>
        <v>View</v>
      </c>
    </row>
    <row r="1678" spans="1:21" ht="20.399999999999999">
      <c r="A1678" s="6">
        <v>43423.249942129631</v>
      </c>
      <c r="B1678" s="7" t="str">
        <f>HYPERLINK("https://twitter.com/periodistadigit","@periodistadigit")</f>
        <v>@periodistadigit</v>
      </c>
      <c r="C1678" s="8" t="s">
        <v>4436</v>
      </c>
      <c r="D1678" s="9" t="s">
        <v>5849</v>
      </c>
      <c r="E1678" s="10" t="str">
        <f>HYPERLINK("https://twitter.com/periodistadigit/status/1064518638647091200","1064518638647091200")</f>
        <v>1064518638647091200</v>
      </c>
      <c r="F1678" s="11" t="s">
        <v>5850</v>
      </c>
      <c r="G1678" s="12"/>
      <c r="H1678" s="12"/>
      <c r="I1678" s="13">
        <v>2</v>
      </c>
      <c r="J1678" s="13">
        <v>2</v>
      </c>
      <c r="K1678" s="14" t="str">
        <f t="shared" ref="K1678:K1679" si="311">HYPERLINK("http://twitter.com","Twitter Web Client")</f>
        <v>Twitter Web Client</v>
      </c>
      <c r="L1678" s="13">
        <v>56097</v>
      </c>
      <c r="M1678" s="13">
        <v>3791</v>
      </c>
      <c r="N1678" s="13">
        <v>1469</v>
      </c>
      <c r="O1678" s="19" t="s">
        <v>74</v>
      </c>
      <c r="P1678" s="6">
        <v>40084.541296296295</v>
      </c>
      <c r="Q1678" s="17" t="s">
        <v>76</v>
      </c>
      <c r="R1678" s="16" t="s">
        <v>4439</v>
      </c>
      <c r="S1678" s="11" t="s">
        <v>4440</v>
      </c>
      <c r="T1678" s="12"/>
      <c r="U1678" s="10" t="str">
        <f>HYPERLINK("https://pbs.twimg.com/profile_images/1913331873/periodista-digital.jpg","View")</f>
        <v>View</v>
      </c>
    </row>
    <row r="1679" spans="1:21" ht="20.399999999999999">
      <c r="A1679" s="6">
        <v>43423.24900462963</v>
      </c>
      <c r="B1679" s="7" t="str">
        <f>HYPERLINK("https://twitter.com/pepetonygar","@pepetonygar")</f>
        <v>@pepetonygar</v>
      </c>
      <c r="C1679" s="8" t="s">
        <v>5932</v>
      </c>
      <c r="D1679" s="9" t="s">
        <v>4418</v>
      </c>
      <c r="E1679" s="10" t="str">
        <f>HYPERLINK("https://twitter.com/pepetonygar/status/1064518296555438082","1064518296555438082")</f>
        <v>1064518296555438082</v>
      </c>
      <c r="F1679" s="11" t="s">
        <v>3031</v>
      </c>
      <c r="G1679" s="12"/>
      <c r="H1679" s="12"/>
      <c r="I1679" s="13">
        <v>1</v>
      </c>
      <c r="J1679" s="13">
        <v>1</v>
      </c>
      <c r="K1679" s="14" t="str">
        <f t="shared" si="311"/>
        <v>Twitter Web Client</v>
      </c>
      <c r="L1679" s="13">
        <v>6174</v>
      </c>
      <c r="M1679" s="13">
        <v>5882</v>
      </c>
      <c r="N1679" s="13">
        <v>29</v>
      </c>
      <c r="O1679" s="15"/>
      <c r="P1679" s="6">
        <v>40456.096701388888</v>
      </c>
      <c r="Q1679" s="17" t="s">
        <v>5933</v>
      </c>
      <c r="R1679" s="16" t="s">
        <v>5934</v>
      </c>
      <c r="S1679" s="11" t="s">
        <v>5935</v>
      </c>
      <c r="T1679" s="12"/>
      <c r="U1679" s="10" t="str">
        <f>HYPERLINK("https://pbs.twimg.com/profile_images/791020420833091584/hBGm_sHy.jpg","View")</f>
        <v>View</v>
      </c>
    </row>
    <row r="1680" spans="1:21" ht="40.799999999999997">
      <c r="A1680" s="6">
        <v>43423.248587962968</v>
      </c>
      <c r="B1680" s="7" t="str">
        <f>HYPERLINK("https://twitter.com/mercedesprt","@mercedesprt")</f>
        <v>@mercedesprt</v>
      </c>
      <c r="C1680" s="8" t="s">
        <v>5936</v>
      </c>
      <c r="D1680" s="9" t="s">
        <v>5937</v>
      </c>
      <c r="E1680" s="10" t="str">
        <f>HYPERLINK("https://twitter.com/mercedesprt/status/1064518144222482432","1064518144222482432")</f>
        <v>1064518144222482432</v>
      </c>
      <c r="F1680" s="12"/>
      <c r="G1680" s="12"/>
      <c r="H1680" s="12"/>
      <c r="I1680" s="13">
        <v>1</v>
      </c>
      <c r="J1680" s="13">
        <v>2</v>
      </c>
      <c r="K1680" s="14" t="str">
        <f t="shared" ref="K1680:K1684" si="312">HYPERLINK("http://twitter.com/download/android","Twitter for Android")</f>
        <v>Twitter for Android</v>
      </c>
      <c r="L1680" s="13">
        <v>2698</v>
      </c>
      <c r="M1680" s="13">
        <v>4982</v>
      </c>
      <c r="N1680" s="13">
        <v>17</v>
      </c>
      <c r="O1680" s="15"/>
      <c r="P1680" s="6">
        <v>41508.145694444444</v>
      </c>
      <c r="Q1680" s="17" t="s">
        <v>5938</v>
      </c>
      <c r="R1680" s="16" t="s">
        <v>5939</v>
      </c>
      <c r="S1680" s="12"/>
      <c r="T1680" s="12"/>
      <c r="U1680" s="10" t="str">
        <f>HYPERLINK("https://pbs.twimg.com/profile_images/1057266446114476033/TkGEL9tq.jpg","View")</f>
        <v>View</v>
      </c>
    </row>
    <row r="1681" spans="1:21" ht="30.6">
      <c r="A1681" s="6">
        <v>43423.24618055555</v>
      </c>
      <c r="B1681" s="7" t="str">
        <f>HYPERLINK("https://twitter.com/Joderquemalva","@Joderquemalva")</f>
        <v>@Joderquemalva</v>
      </c>
      <c r="C1681" s="8" t="s">
        <v>5940</v>
      </c>
      <c r="D1681" s="9" t="s">
        <v>4365</v>
      </c>
      <c r="E1681" s="10" t="str">
        <f>HYPERLINK("https://twitter.com/Joderquemalva/status/1064517272092446720","1064517272092446720")</f>
        <v>1064517272092446720</v>
      </c>
      <c r="F1681" s="11" t="s">
        <v>5941</v>
      </c>
      <c r="G1681" s="12"/>
      <c r="H1681" s="12"/>
      <c r="I1681" s="13">
        <v>0</v>
      </c>
      <c r="J1681" s="13">
        <v>0</v>
      </c>
      <c r="K1681" s="14" t="str">
        <f t="shared" si="312"/>
        <v>Twitter for Android</v>
      </c>
      <c r="L1681" s="13">
        <v>1251</v>
      </c>
      <c r="M1681" s="13">
        <v>1550</v>
      </c>
      <c r="N1681" s="13">
        <v>38</v>
      </c>
      <c r="O1681" s="15"/>
      <c r="P1681" s="6">
        <v>40693.477303240739</v>
      </c>
      <c r="Q1681" s="12"/>
      <c r="R1681" s="16" t="s">
        <v>5942</v>
      </c>
      <c r="S1681" s="12"/>
      <c r="T1681" s="12"/>
      <c r="U1681" s="10" t="str">
        <f>HYPERLINK("https://pbs.twimg.com/profile_images/876063068249260032/HCf3YWh7.jpg","View")</f>
        <v>View</v>
      </c>
    </row>
    <row r="1682" spans="1:21" ht="61.2">
      <c r="A1682" s="6">
        <v>43423.240358796298</v>
      </c>
      <c r="B1682" s="7" t="str">
        <f>HYPERLINK("https://twitter.com/emoreno_b","@emoreno_b")</f>
        <v>@emoreno_b</v>
      </c>
      <c r="C1682" s="8" t="s">
        <v>5943</v>
      </c>
      <c r="D1682" s="9" t="s">
        <v>5944</v>
      </c>
      <c r="E1682" s="10" t="str">
        <f>HYPERLINK("https://twitter.com/emoreno_b/status/1064515165729800193","1064515165729800193")</f>
        <v>1064515165729800193</v>
      </c>
      <c r="F1682" s="17" t="s">
        <v>5945</v>
      </c>
      <c r="G1682" s="12"/>
      <c r="H1682" s="12"/>
      <c r="I1682" s="13">
        <v>0</v>
      </c>
      <c r="J1682" s="13">
        <v>0</v>
      </c>
      <c r="K1682" s="14" t="str">
        <f t="shared" si="312"/>
        <v>Twitter for Android</v>
      </c>
      <c r="L1682" s="13">
        <v>117</v>
      </c>
      <c r="M1682" s="13">
        <v>240</v>
      </c>
      <c r="N1682" s="13">
        <v>1</v>
      </c>
      <c r="O1682" s="15"/>
      <c r="P1682" s="6">
        <v>41315.598599537036</v>
      </c>
      <c r="Q1682" s="12"/>
      <c r="R1682" s="18"/>
      <c r="S1682" s="12"/>
      <c r="T1682" s="12"/>
      <c r="U1682" s="10" t="str">
        <f>HYPERLINK("https://pbs.twimg.com/profile_images/967893246935519234/2--TLoqi.jpg","View")</f>
        <v>View</v>
      </c>
    </row>
    <row r="1683" spans="1:21" ht="40.799999999999997">
      <c r="A1683" s="6">
        <v>43423.24019675926</v>
      </c>
      <c r="B1683" s="7" t="str">
        <f>HYPERLINK("https://twitter.com/volskam","@volskam")</f>
        <v>@volskam</v>
      </c>
      <c r="C1683" s="8" t="s">
        <v>4915</v>
      </c>
      <c r="D1683" s="9" t="s">
        <v>5946</v>
      </c>
      <c r="E1683" s="10" t="str">
        <f>HYPERLINK("https://twitter.com/volskam/status/1064515104476155904","1064515104476155904")</f>
        <v>1064515104476155904</v>
      </c>
      <c r="F1683" s="12"/>
      <c r="G1683" s="12"/>
      <c r="H1683" s="12"/>
      <c r="I1683" s="13">
        <v>1</v>
      </c>
      <c r="J1683" s="13">
        <v>1</v>
      </c>
      <c r="K1683" s="14" t="str">
        <f t="shared" si="312"/>
        <v>Twitter for Android</v>
      </c>
      <c r="L1683" s="13">
        <v>292</v>
      </c>
      <c r="M1683" s="13">
        <v>519</v>
      </c>
      <c r="N1683" s="13">
        <v>8</v>
      </c>
      <c r="O1683" s="15"/>
      <c r="P1683" s="6">
        <v>40857.381076388891</v>
      </c>
      <c r="Q1683" s="17" t="s">
        <v>4917</v>
      </c>
      <c r="R1683" s="16" t="s">
        <v>4918</v>
      </c>
      <c r="S1683" s="12"/>
      <c r="T1683" s="12"/>
      <c r="U1683" s="10" t="str">
        <f>HYPERLINK("https://pbs.twimg.com/profile_images/378800000345716518/57df91754ce0bbe742a390e2eabb723c.jpeg","View")</f>
        <v>View</v>
      </c>
    </row>
    <row r="1684" spans="1:21" ht="20.399999999999999">
      <c r="A1684" s="6">
        <v>43423.239803240736</v>
      </c>
      <c r="B1684" s="7" t="str">
        <f>HYPERLINK("https://twitter.com/caencomonueces","@caencomonueces")</f>
        <v>@caencomonueces</v>
      </c>
      <c r="C1684" s="8" t="s">
        <v>3270</v>
      </c>
      <c r="D1684" s="9" t="s">
        <v>5853</v>
      </c>
      <c r="E1684" s="10" t="str">
        <f>HYPERLINK("https://twitter.com/caencomonueces/status/1064514961286881280","1064514961286881280")</f>
        <v>1064514961286881280</v>
      </c>
      <c r="F1684" s="11" t="s">
        <v>5850</v>
      </c>
      <c r="G1684" s="12"/>
      <c r="H1684" s="12"/>
      <c r="I1684" s="13">
        <v>0</v>
      </c>
      <c r="J1684" s="13">
        <v>0</v>
      </c>
      <c r="K1684" s="14" t="str">
        <f t="shared" si="312"/>
        <v>Twitter for Android</v>
      </c>
      <c r="L1684" s="13">
        <v>629</v>
      </c>
      <c r="M1684" s="13">
        <v>1153</v>
      </c>
      <c r="N1684" s="13">
        <v>3</v>
      </c>
      <c r="O1684" s="15"/>
      <c r="P1684" s="6">
        <v>41242.426539351851</v>
      </c>
      <c r="Q1684" s="17" t="s">
        <v>374</v>
      </c>
      <c r="R1684" s="16" t="s">
        <v>3272</v>
      </c>
      <c r="S1684" s="12"/>
      <c r="T1684" s="12"/>
      <c r="U1684" s="10" t="str">
        <f>HYPERLINK("https://pbs.twimg.com/profile_images/802542076420378628/S_52YFJA.jpg","View")</f>
        <v>View</v>
      </c>
    </row>
    <row r="1685" spans="1:21" ht="30.6">
      <c r="A1685" s="6">
        <v>43423.236273148148</v>
      </c>
      <c r="B1685" s="7" t="str">
        <f>HYPERLINK("https://twitter.com/COMBISOL","@COMBISOL")</f>
        <v>@COMBISOL</v>
      </c>
      <c r="C1685" s="8" t="s">
        <v>5947</v>
      </c>
      <c r="D1685" s="9" t="s">
        <v>3067</v>
      </c>
      <c r="E1685" s="10" t="str">
        <f>HYPERLINK("https://twitter.com/COMBISOL/status/1064513681738878976","1064513681738878976")</f>
        <v>1064513681738878976</v>
      </c>
      <c r="F1685" s="11" t="s">
        <v>320</v>
      </c>
      <c r="G1685" s="12"/>
      <c r="H1685" s="12"/>
      <c r="I1685" s="13">
        <v>0</v>
      </c>
      <c r="J1685" s="13">
        <v>0</v>
      </c>
      <c r="K1685" s="14" t="str">
        <f>HYPERLINK("http://www.facebook.com/twitter","Facebook")</f>
        <v>Facebook</v>
      </c>
      <c r="L1685" s="13">
        <v>103</v>
      </c>
      <c r="M1685" s="13">
        <v>238</v>
      </c>
      <c r="N1685" s="13">
        <v>0</v>
      </c>
      <c r="O1685" s="15"/>
      <c r="P1685" s="6">
        <v>40709.348344907405</v>
      </c>
      <c r="Q1685" s="17" t="s">
        <v>118</v>
      </c>
      <c r="R1685" s="16" t="s">
        <v>5948</v>
      </c>
      <c r="S1685" s="11" t="s">
        <v>5949</v>
      </c>
      <c r="T1685" s="12"/>
      <c r="U1685" s="10" t="str">
        <f>HYPERLINK("https://pbs.twimg.com/profile_images/1397278729/CABINA_ROJA_TWITTER_2_--.jpg","View")</f>
        <v>View</v>
      </c>
    </row>
    <row r="1686" spans="1:21" ht="51">
      <c r="A1686" s="6">
        <v>43423.234837962962</v>
      </c>
      <c r="B1686" s="7" t="str">
        <f>HYPERLINK("https://twitter.com/cherinola","@cherinola")</f>
        <v>@cherinola</v>
      </c>
      <c r="C1686" s="8" t="s">
        <v>2446</v>
      </c>
      <c r="D1686" s="9" t="s">
        <v>5950</v>
      </c>
      <c r="E1686" s="10" t="str">
        <f>HYPERLINK("https://twitter.com/cherinola/status/1064513164052697088","1064513164052697088")</f>
        <v>1064513164052697088</v>
      </c>
      <c r="F1686" s="12"/>
      <c r="G1686" s="11" t="s">
        <v>5951</v>
      </c>
      <c r="H1686" s="12"/>
      <c r="I1686" s="13">
        <v>0</v>
      </c>
      <c r="J1686" s="13">
        <v>0</v>
      </c>
      <c r="K1686" s="14" t="str">
        <f>HYPERLINK("http://twitter.com/download/iphone","Twitter for iPhone")</f>
        <v>Twitter for iPhone</v>
      </c>
      <c r="L1686" s="13">
        <v>484</v>
      </c>
      <c r="M1686" s="13">
        <v>76</v>
      </c>
      <c r="N1686" s="13">
        <v>30</v>
      </c>
      <c r="O1686" s="15"/>
      <c r="P1686" s="6">
        <v>40232.781284722223</v>
      </c>
      <c r="Q1686" s="17" t="s">
        <v>2449</v>
      </c>
      <c r="R1686" s="16" t="s">
        <v>2450</v>
      </c>
      <c r="S1686" s="11" t="s">
        <v>2451</v>
      </c>
      <c r="T1686" s="12"/>
      <c r="U1686" s="10" t="str">
        <f>HYPERLINK("https://pbs.twimg.com/profile_images/1035495200892887040/flIObds9.jpg","View")</f>
        <v>View</v>
      </c>
    </row>
    <row r="1687" spans="1:21" ht="40.799999999999997">
      <c r="A1687" s="6">
        <v>43423.234270833331</v>
      </c>
      <c r="B1687" s="7" t="str">
        <f>HYPERLINK("https://twitter.com/angeles_cab1","@angeles_cab1")</f>
        <v>@angeles_cab1</v>
      </c>
      <c r="C1687" s="8" t="s">
        <v>5952</v>
      </c>
      <c r="D1687" s="9" t="s">
        <v>5953</v>
      </c>
      <c r="E1687" s="10" t="str">
        <f>HYPERLINK("https://twitter.com/angeles_cab1/status/1064512956719919104","1064512956719919104")</f>
        <v>1064512956719919104</v>
      </c>
      <c r="F1687" s="17" t="s">
        <v>5954</v>
      </c>
      <c r="G1687" s="12"/>
      <c r="H1687" s="12"/>
      <c r="I1687" s="13">
        <v>0</v>
      </c>
      <c r="J1687" s="13">
        <v>0</v>
      </c>
      <c r="K1687" s="14" t="str">
        <f>HYPERLINK("http://twitter.com/download/android","Twitter for Android")</f>
        <v>Twitter for Android</v>
      </c>
      <c r="L1687" s="13">
        <v>1165</v>
      </c>
      <c r="M1687" s="13">
        <v>1414</v>
      </c>
      <c r="N1687" s="13">
        <v>0</v>
      </c>
      <c r="O1687" s="15"/>
      <c r="P1687" s="6">
        <v>39995.127858796295</v>
      </c>
      <c r="Q1687" s="17" t="s">
        <v>5955</v>
      </c>
      <c r="R1687" s="18"/>
      <c r="S1687" s="12"/>
      <c r="T1687" s="12"/>
      <c r="U1687" s="10" t="str">
        <f>HYPERLINK("https://pbs.twimg.com/profile_images/996310926549807104/Bl5VKWCF.jpg","View")</f>
        <v>View</v>
      </c>
    </row>
    <row r="1688" spans="1:21" ht="20.399999999999999">
      <c r="A1688" s="6">
        <v>43423.23170138889</v>
      </c>
      <c r="B1688" s="7" t="str">
        <f>HYPERLINK("https://twitter.com/Angelcarloshaya","@Angelcarloshaya")</f>
        <v>@Angelcarloshaya</v>
      </c>
      <c r="C1688" s="8" t="s">
        <v>5956</v>
      </c>
      <c r="D1688" s="9" t="s">
        <v>4817</v>
      </c>
      <c r="E1688" s="10" t="str">
        <f>HYPERLINK("https://twitter.com/Angelcarloshaya/status/1064512026062524416","1064512026062524416")</f>
        <v>1064512026062524416</v>
      </c>
      <c r="F1688" s="11" t="s">
        <v>3031</v>
      </c>
      <c r="G1688" s="12"/>
      <c r="H1688" s="12"/>
      <c r="I1688" s="13">
        <v>0</v>
      </c>
      <c r="J1688" s="13">
        <v>0</v>
      </c>
      <c r="K1688" s="14" t="str">
        <f>HYPERLINK("http://www.facebook.com/twitter","Facebook")</f>
        <v>Facebook</v>
      </c>
      <c r="L1688" s="13">
        <v>572</v>
      </c>
      <c r="M1688" s="13">
        <v>1401</v>
      </c>
      <c r="N1688" s="13">
        <v>3</v>
      </c>
      <c r="O1688" s="15"/>
      <c r="P1688" s="6">
        <v>40937.216435185182</v>
      </c>
      <c r="Q1688" s="17" t="s">
        <v>268</v>
      </c>
      <c r="R1688" s="16" t="s">
        <v>5957</v>
      </c>
      <c r="S1688" s="12"/>
      <c r="T1688" s="12"/>
      <c r="U1688" s="10" t="str">
        <f>HYPERLINK("https://pbs.twimg.com/profile_images/378800000438187558/06c5c37b7b8429b7f09afbc93e8aba0e.jpeg","View")</f>
        <v>View</v>
      </c>
    </row>
    <row r="1689" spans="1:21" ht="30.6">
      <c r="A1689" s="6">
        <v>43423.231145833328</v>
      </c>
      <c r="B1689" s="7" t="str">
        <f>HYPERLINK("https://twitter.com/AlvaroGAlarcon","@AlvaroGAlarcon")</f>
        <v>@AlvaroGAlarcon</v>
      </c>
      <c r="C1689" s="8" t="s">
        <v>5958</v>
      </c>
      <c r="D1689" s="9" t="s">
        <v>5959</v>
      </c>
      <c r="E1689" s="10" t="str">
        <f>HYPERLINK("https://twitter.com/AlvaroGAlarcon/status/1064511824631160834","1064511824631160834")</f>
        <v>1064511824631160834</v>
      </c>
      <c r="F1689" s="12"/>
      <c r="G1689" s="12"/>
      <c r="H1689" s="12"/>
      <c r="I1689" s="13">
        <v>0</v>
      </c>
      <c r="J1689" s="13">
        <v>0</v>
      </c>
      <c r="K1689" s="14" t="str">
        <f>HYPERLINK("http://twitter.com/download/iphone","Twitter for iPhone")</f>
        <v>Twitter for iPhone</v>
      </c>
      <c r="L1689" s="13">
        <v>700</v>
      </c>
      <c r="M1689" s="13">
        <v>764</v>
      </c>
      <c r="N1689" s="13">
        <v>10</v>
      </c>
      <c r="O1689" s="15"/>
      <c r="P1689" s="6">
        <v>40880.157488425924</v>
      </c>
      <c r="Q1689" s="17" t="s">
        <v>5960</v>
      </c>
      <c r="R1689" s="16" t="s">
        <v>5961</v>
      </c>
      <c r="S1689" s="12"/>
      <c r="T1689" s="12"/>
      <c r="U1689" s="10" t="str">
        <f>HYPERLINK("https://pbs.twimg.com/profile_images/1037091215697747974/LSmg0GvS.jpg","View")</f>
        <v>View</v>
      </c>
    </row>
    <row r="1690" spans="1:21" ht="40.799999999999997">
      <c r="A1690" s="6">
        <v>43423.228506944448</v>
      </c>
      <c r="B1690" s="7" t="str">
        <f>HYPERLINK("https://twitter.com/piezas","@piezas")</f>
        <v>@piezas</v>
      </c>
      <c r="C1690" s="8" t="s">
        <v>5962</v>
      </c>
      <c r="D1690" s="9" t="s">
        <v>5963</v>
      </c>
      <c r="E1690" s="10" t="str">
        <f>HYPERLINK("https://twitter.com/piezas/status/1064510869852364801","1064510869852364801")</f>
        <v>1064510869852364801</v>
      </c>
      <c r="F1690" s="12"/>
      <c r="G1690" s="12"/>
      <c r="H1690" s="12"/>
      <c r="I1690" s="13">
        <v>0</v>
      </c>
      <c r="J1690" s="13">
        <v>1</v>
      </c>
      <c r="K1690" s="14" t="str">
        <f>HYPERLINK("http://twitter.com","Twitter Web Client")</f>
        <v>Twitter Web Client</v>
      </c>
      <c r="L1690" s="13">
        <v>4196</v>
      </c>
      <c r="M1690" s="13">
        <v>3485</v>
      </c>
      <c r="N1690" s="13">
        <v>136</v>
      </c>
      <c r="O1690" s="15"/>
      <c r="P1690" s="6">
        <v>39293.273402777777</v>
      </c>
      <c r="Q1690" s="17" t="s">
        <v>5964</v>
      </c>
      <c r="R1690" s="16" t="s">
        <v>5965</v>
      </c>
      <c r="S1690" s="12"/>
      <c r="T1690" s="12"/>
      <c r="U1690" s="10" t="str">
        <f>HYPERLINK("https://pbs.twimg.com/profile_images/875986602291585025/_wVmv5VB.jpg","View")</f>
        <v>View</v>
      </c>
    </row>
    <row r="1691" spans="1:21" ht="20.399999999999999">
      <c r="A1691" s="6">
        <v>43423.227268518516</v>
      </c>
      <c r="B1691" s="7" t="str">
        <f>HYPERLINK("https://twitter.com/21carus","@21carus")</f>
        <v>@21carus</v>
      </c>
      <c r="C1691" s="8" t="s">
        <v>5966</v>
      </c>
      <c r="D1691" s="9" t="s">
        <v>5967</v>
      </c>
      <c r="E1691" s="10" t="str">
        <f>HYPERLINK("https://twitter.com/21carus/status/1064510421804228609","1064510421804228609")</f>
        <v>1064510421804228609</v>
      </c>
      <c r="F1691" s="11" t="s">
        <v>5968</v>
      </c>
      <c r="G1691" s="12"/>
      <c r="H1691" s="12"/>
      <c r="I1691" s="13">
        <v>0</v>
      </c>
      <c r="J1691" s="13">
        <v>0</v>
      </c>
      <c r="K1691" s="14" t="str">
        <f>HYPERLINK("http://twitter.com/download/android","Twitter for Android")</f>
        <v>Twitter for Android</v>
      </c>
      <c r="L1691" s="13">
        <v>206</v>
      </c>
      <c r="M1691" s="13">
        <v>170</v>
      </c>
      <c r="N1691" s="13">
        <v>5</v>
      </c>
      <c r="O1691" s="15"/>
      <c r="P1691" s="6">
        <v>40843.034699074073</v>
      </c>
      <c r="Q1691" s="12"/>
      <c r="R1691" s="16" t="s">
        <v>5969</v>
      </c>
      <c r="S1691" s="12"/>
      <c r="T1691" s="12"/>
      <c r="U1691" s="10" t="str">
        <f>HYPERLINK("https://pbs.twimg.com/profile_images/1052074091413479424/eeXyEyew.jpg","View")</f>
        <v>View</v>
      </c>
    </row>
    <row r="1692" spans="1:21" ht="30.6">
      <c r="A1692" s="6">
        <v>43423.227025462962</v>
      </c>
      <c r="B1692" s="7" t="str">
        <f>HYPERLINK("https://twitter.com/cabreratechicf","@cabreratechicf")</f>
        <v>@cabreratechicf</v>
      </c>
      <c r="C1692" s="8" t="s">
        <v>5970</v>
      </c>
      <c r="D1692" s="9" t="s">
        <v>5971</v>
      </c>
      <c r="E1692" s="10" t="str">
        <f>HYPERLINK("https://twitter.com/cabreratechicf/status/1064510332826202113","1064510332826202113")</f>
        <v>1064510332826202113</v>
      </c>
      <c r="F1692" s="11" t="s">
        <v>5972</v>
      </c>
      <c r="G1692" s="12"/>
      <c r="H1692" s="12"/>
      <c r="I1692" s="13">
        <v>0</v>
      </c>
      <c r="J1692" s="13">
        <v>0</v>
      </c>
      <c r="K1692" s="14" t="str">
        <f>HYPERLINK("https://curiouscat.me","Curious Cat")</f>
        <v>Curious Cat</v>
      </c>
      <c r="L1692" s="13">
        <v>140</v>
      </c>
      <c r="M1692" s="13">
        <v>54</v>
      </c>
      <c r="N1692" s="13">
        <v>0</v>
      </c>
      <c r="O1692" s="15"/>
      <c r="P1692" s="6">
        <v>43378.443495370375</v>
      </c>
      <c r="Q1692" s="17" t="s">
        <v>419</v>
      </c>
      <c r="R1692" s="16" t="s">
        <v>5973</v>
      </c>
      <c r="S1692" s="11" t="s">
        <v>5974</v>
      </c>
      <c r="T1692" s="12"/>
      <c r="U1692" s="10" t="str">
        <f>HYPERLINK("https://pbs.twimg.com/profile_images/1061666881201954816/BuUzhryz.jpg","View")</f>
        <v>View</v>
      </c>
    </row>
    <row r="1693" spans="1:21" ht="40.799999999999997">
      <c r="A1693" s="6">
        <v>43423.22550925926</v>
      </c>
      <c r="B1693" s="7" t="str">
        <f>HYPERLINK("https://twitter.com/Echelon_43","@Echelon_43")</f>
        <v>@Echelon_43</v>
      </c>
      <c r="C1693" s="8" t="s">
        <v>2271</v>
      </c>
      <c r="D1693" s="9" t="s">
        <v>3900</v>
      </c>
      <c r="E1693" s="10" t="str">
        <f>HYPERLINK("https://twitter.com/Echelon_43/status/1064509783552782336","1064509783552782336")</f>
        <v>1064509783552782336</v>
      </c>
      <c r="F1693" s="11" t="s">
        <v>320</v>
      </c>
      <c r="G1693" s="12"/>
      <c r="H1693" s="12"/>
      <c r="I1693" s="13">
        <v>0</v>
      </c>
      <c r="J1693" s="13">
        <v>0</v>
      </c>
      <c r="K1693" s="14" t="str">
        <f>HYPERLINK("http://twitter.com","Twitter Web Client")</f>
        <v>Twitter Web Client</v>
      </c>
      <c r="L1693" s="13">
        <v>896</v>
      </c>
      <c r="M1693" s="13">
        <v>193</v>
      </c>
      <c r="N1693" s="13">
        <v>65</v>
      </c>
      <c r="O1693" s="15"/>
      <c r="P1693" s="6">
        <v>40751.18037037037</v>
      </c>
      <c r="Q1693" s="17" t="s">
        <v>26</v>
      </c>
      <c r="R1693" s="16" t="s">
        <v>2272</v>
      </c>
      <c r="S1693" s="12"/>
      <c r="T1693" s="12"/>
      <c r="U1693" s="10" t="str">
        <f>HYPERLINK("https://pbs.twimg.com/profile_images/921723596594143233/wkqlrmwK.jpg","View")</f>
        <v>View</v>
      </c>
    </row>
    <row r="1694" spans="1:21" ht="30.6">
      <c r="A1694" s="6">
        <v>43423.223668981482</v>
      </c>
      <c r="B1694" s="7" t="str">
        <f>HYPERLINK("https://twitter.com/josemanueljpg","@josemanueljpg")</f>
        <v>@josemanueljpg</v>
      </c>
      <c r="C1694" s="8" t="s">
        <v>5975</v>
      </c>
      <c r="D1694" s="9" t="s">
        <v>5976</v>
      </c>
      <c r="E1694" s="10" t="str">
        <f>HYPERLINK("https://twitter.com/josemanueljpg/status/1064509116939464706","1064509116939464706")</f>
        <v>1064509116939464706</v>
      </c>
      <c r="F1694" s="12"/>
      <c r="G1694" s="12"/>
      <c r="H1694" s="12"/>
      <c r="I1694" s="13">
        <v>0</v>
      </c>
      <c r="J1694" s="13">
        <v>0</v>
      </c>
      <c r="K1694" s="14" t="str">
        <f>HYPERLINK("http://twitter.com/download/android","Twitter for Android")</f>
        <v>Twitter for Android</v>
      </c>
      <c r="L1694" s="13">
        <v>425</v>
      </c>
      <c r="M1694" s="13">
        <v>955</v>
      </c>
      <c r="N1694" s="13">
        <v>2</v>
      </c>
      <c r="O1694" s="15"/>
      <c r="P1694" s="6">
        <v>40994.186076388891</v>
      </c>
      <c r="Q1694" s="17" t="s">
        <v>3653</v>
      </c>
      <c r="R1694" s="16" t="s">
        <v>5977</v>
      </c>
      <c r="S1694" s="12"/>
      <c r="T1694" s="12"/>
      <c r="U1694" s="10" t="str">
        <f>HYPERLINK("https://pbs.twimg.com/profile_images/908311119911104513/SObAluj0.jpg","View")</f>
        <v>View</v>
      </c>
    </row>
    <row r="1695" spans="1:21" ht="40.799999999999997">
      <c r="A1695" s="6">
        <v>43423.22247685185</v>
      </c>
      <c r="B1695" s="7" t="str">
        <f>HYPERLINK("https://twitter.com/Diario_16","@Diario_16")</f>
        <v>@Diario_16</v>
      </c>
      <c r="C1695" s="8" t="s">
        <v>4646</v>
      </c>
      <c r="D1695" s="9" t="s">
        <v>3900</v>
      </c>
      <c r="E1695" s="10" t="str">
        <f>HYPERLINK("https://twitter.com/Diario_16/status/1064508681830699009","1064508681830699009")</f>
        <v>1064508681830699009</v>
      </c>
      <c r="F1695" s="11" t="s">
        <v>320</v>
      </c>
      <c r="G1695" s="11" t="s">
        <v>5978</v>
      </c>
      <c r="H1695" s="12"/>
      <c r="I1695" s="13">
        <v>7</v>
      </c>
      <c r="J1695" s="13">
        <v>3</v>
      </c>
      <c r="K1695" s="14" t="str">
        <f>HYPERLINK("http://twitter.com/#!/download/ipad","Twitter for iPad")</f>
        <v>Twitter for iPad</v>
      </c>
      <c r="L1695" s="13">
        <v>20953</v>
      </c>
      <c r="M1695" s="13">
        <v>1036</v>
      </c>
      <c r="N1695" s="13">
        <v>473</v>
      </c>
      <c r="O1695" s="15"/>
      <c r="P1695" s="6">
        <v>42341.489768518513</v>
      </c>
      <c r="Q1695" s="12"/>
      <c r="R1695" s="16" t="s">
        <v>4649</v>
      </c>
      <c r="S1695" s="11" t="s">
        <v>4650</v>
      </c>
      <c r="T1695" s="12"/>
      <c r="U1695" s="10" t="str">
        <f>HYPERLINK("https://pbs.twimg.com/profile_images/900024873275281409/nuXA921H.jpg","View")</f>
        <v>View</v>
      </c>
    </row>
    <row r="1696" spans="1:21" ht="51">
      <c r="A1696" s="6">
        <v>43423.220532407402</v>
      </c>
      <c r="B1696" s="7" t="str">
        <f>HYPERLINK("https://twitter.com/voltaduran","@voltaduran")</f>
        <v>@voltaduran</v>
      </c>
      <c r="C1696" s="8" t="s">
        <v>5979</v>
      </c>
      <c r="D1696" s="9" t="s">
        <v>5980</v>
      </c>
      <c r="E1696" s="10" t="str">
        <f>HYPERLINK("https://twitter.com/voltaduran/status/1064507977770635271","1064507977770635271")</f>
        <v>1064507977770635271</v>
      </c>
      <c r="F1696" s="12"/>
      <c r="G1696" s="12"/>
      <c r="H1696" s="12"/>
      <c r="I1696" s="13">
        <v>0</v>
      </c>
      <c r="J1696" s="13">
        <v>4</v>
      </c>
      <c r="K1696" s="14" t="str">
        <f t="shared" ref="K1696:K1697" si="313">HYPERLINK("http://twitter.com/download/android","Twitter for Android")</f>
        <v>Twitter for Android</v>
      </c>
      <c r="L1696" s="13">
        <v>211</v>
      </c>
      <c r="M1696" s="13">
        <v>393</v>
      </c>
      <c r="N1696" s="13">
        <v>1</v>
      </c>
      <c r="O1696" s="15"/>
      <c r="P1696" s="6">
        <v>41393.31459490741</v>
      </c>
      <c r="Q1696" s="17" t="s">
        <v>5981</v>
      </c>
      <c r="R1696" s="16" t="s">
        <v>5982</v>
      </c>
      <c r="S1696" s="12"/>
      <c r="T1696" s="12"/>
      <c r="U1696" s="10" t="str">
        <f>HYPERLINK("https://pbs.twimg.com/profile_images/1039236926799310850/HSZzCwRo.jpg","View")</f>
        <v>View</v>
      </c>
    </row>
    <row r="1697" spans="1:21" ht="40.799999999999997">
      <c r="A1697" s="6">
        <v>43423.213437500002</v>
      </c>
      <c r="B1697" s="7" t="str">
        <f>HYPERLINK("https://twitter.com/MaribelMtnez","@MaribelMtnez")</f>
        <v>@MaribelMtnez</v>
      </c>
      <c r="C1697" s="8" t="s">
        <v>5983</v>
      </c>
      <c r="D1697" s="9" t="s">
        <v>5984</v>
      </c>
      <c r="E1697" s="10" t="str">
        <f>HYPERLINK("https://twitter.com/MaribelMtnez/status/1064505409266950144","1064505409266950144")</f>
        <v>1064505409266950144</v>
      </c>
      <c r="F1697" s="12"/>
      <c r="G1697" s="11" t="s">
        <v>5985</v>
      </c>
      <c r="H1697" s="12"/>
      <c r="I1697" s="13">
        <v>5</v>
      </c>
      <c r="J1697" s="13">
        <v>7</v>
      </c>
      <c r="K1697" s="14" t="str">
        <f t="shared" si="313"/>
        <v>Twitter for Android</v>
      </c>
      <c r="L1697" s="13">
        <v>1042</v>
      </c>
      <c r="M1697" s="13">
        <v>421</v>
      </c>
      <c r="N1697" s="13">
        <v>31</v>
      </c>
      <c r="O1697" s="15"/>
      <c r="P1697" s="6">
        <v>40821.300266203703</v>
      </c>
      <c r="Q1697" s="17" t="s">
        <v>5986</v>
      </c>
      <c r="R1697" s="16" t="s">
        <v>5987</v>
      </c>
      <c r="S1697" s="12"/>
      <c r="T1697" s="12"/>
      <c r="U1697" s="10" t="str">
        <f>HYPERLINK("https://pbs.twimg.com/profile_images/1031810516002504704/c92eg_GX.jpg","View")</f>
        <v>View</v>
      </c>
    </row>
    <row r="1698" spans="1:21" ht="30.6">
      <c r="A1698" s="6">
        <v>43423.206180555557</v>
      </c>
      <c r="B1698" s="7" t="str">
        <f>HYPERLINK("https://twitter.com/nomemandescall3","@nomemandescall3")</f>
        <v>@nomemandescall3</v>
      </c>
      <c r="C1698" s="8" t="s">
        <v>5988</v>
      </c>
      <c r="D1698" s="9" t="s">
        <v>5989</v>
      </c>
      <c r="E1698" s="10" t="str">
        <f>HYPERLINK("https://twitter.com/nomemandescall3/status/1064502778846941184","1064502778846941184")</f>
        <v>1064502778846941184</v>
      </c>
      <c r="F1698" s="11" t="s">
        <v>5990</v>
      </c>
      <c r="G1698" s="12"/>
      <c r="H1698" s="12"/>
      <c r="I1698" s="13">
        <v>0</v>
      </c>
      <c r="J1698" s="13">
        <v>0</v>
      </c>
      <c r="K1698" s="14" t="str">
        <f>HYPERLINK("http://twitter.com/download/iphone","Twitter for iPhone")</f>
        <v>Twitter for iPhone</v>
      </c>
      <c r="L1698" s="13">
        <v>166</v>
      </c>
      <c r="M1698" s="13">
        <v>215</v>
      </c>
      <c r="N1698" s="13">
        <v>0</v>
      </c>
      <c r="O1698" s="15"/>
      <c r="P1698" s="6">
        <v>43284.383842592593</v>
      </c>
      <c r="Q1698" s="17" t="s">
        <v>340</v>
      </c>
      <c r="R1698" s="16" t="s">
        <v>5991</v>
      </c>
      <c r="S1698" s="12"/>
      <c r="T1698" s="12"/>
      <c r="U1698" s="10" t="str">
        <f>HYPERLINK("https://pbs.twimg.com/profile_images/1065664208388456458/ySf0syG8.jpg","View")</f>
        <v>View</v>
      </c>
    </row>
    <row r="1699" spans="1:21" ht="30.6">
      <c r="A1699" s="6">
        <v>43423.205578703702</v>
      </c>
      <c r="B1699" s="7" t="str">
        <f>HYPERLINK("https://twitter.com/__Gonzalos__","@__Gonzalos__")</f>
        <v>@__Gonzalos__</v>
      </c>
      <c r="C1699" s="8" t="s">
        <v>1358</v>
      </c>
      <c r="D1699" s="9" t="s">
        <v>5992</v>
      </c>
      <c r="E1699" s="10" t="str">
        <f>HYPERLINK("https://twitter.com/__Gonzalos__/status/1064502559107354626","1064502559107354626")</f>
        <v>1064502559107354626</v>
      </c>
      <c r="F1699" s="11" t="s">
        <v>320</v>
      </c>
      <c r="G1699" s="12"/>
      <c r="H1699" s="12"/>
      <c r="I1699" s="13">
        <v>3</v>
      </c>
      <c r="J1699" s="13">
        <v>3</v>
      </c>
      <c r="K1699" s="14" t="str">
        <f>HYPERLINK("http://twitter.com/#!/download/ipad","Twitter for iPad")</f>
        <v>Twitter for iPad</v>
      </c>
      <c r="L1699" s="13">
        <v>6035</v>
      </c>
      <c r="M1699" s="13">
        <v>5791</v>
      </c>
      <c r="N1699" s="13">
        <v>59</v>
      </c>
      <c r="O1699" s="15"/>
      <c r="P1699" s="6">
        <v>41309.141064814816</v>
      </c>
      <c r="Q1699" s="12"/>
      <c r="R1699" s="16" t="s">
        <v>1359</v>
      </c>
      <c r="S1699" s="12"/>
      <c r="T1699" s="12"/>
      <c r="U1699" s="10" t="str">
        <f>HYPERLINK("https://pbs.twimg.com/profile_images/972941233646653440/g_gq2J8w.jpg","View")</f>
        <v>View</v>
      </c>
    </row>
    <row r="1700" spans="1:21" ht="40.799999999999997">
      <c r="A1700" s="6">
        <v>43423.204548611116</v>
      </c>
      <c r="B1700" s="7" t="str">
        <f>HYPERLINK("https://twitter.com/elpidiojsilva","@elpidiojsilva")</f>
        <v>@elpidiojsilva</v>
      </c>
      <c r="C1700" s="8" t="s">
        <v>372</v>
      </c>
      <c r="D1700" s="9" t="s">
        <v>373</v>
      </c>
      <c r="E1700" s="10" t="str">
        <f>HYPERLINK("https://twitter.com/elpidiojsilva/status/1064502185961111553","1064502185961111553")</f>
        <v>1064502185961111553</v>
      </c>
      <c r="F1700" s="11" t="s">
        <v>320</v>
      </c>
      <c r="G1700" s="12"/>
      <c r="H1700" s="12"/>
      <c r="I1700" s="13">
        <v>1566</v>
      </c>
      <c r="J1700" s="13">
        <v>1626</v>
      </c>
      <c r="K1700" s="14" t="str">
        <f>HYPERLINK("http://twitter.com/download/android","Twitter for Android")</f>
        <v>Twitter for Android</v>
      </c>
      <c r="L1700" s="13">
        <v>182500</v>
      </c>
      <c r="M1700" s="13">
        <v>2930</v>
      </c>
      <c r="N1700" s="13">
        <v>1203</v>
      </c>
      <c r="O1700" s="19" t="s">
        <v>74</v>
      </c>
      <c r="P1700" s="6">
        <v>41433.649618055555</v>
      </c>
      <c r="Q1700" s="12"/>
      <c r="R1700" s="16" t="s">
        <v>377</v>
      </c>
      <c r="S1700" s="11" t="s">
        <v>378</v>
      </c>
      <c r="T1700" s="12"/>
      <c r="U1700" s="10" t="str">
        <f>HYPERLINK("https://pbs.twimg.com/profile_images/466139598364499968/uFKhGMRH.png","View")</f>
        <v>View</v>
      </c>
    </row>
    <row r="1701" spans="1:21" ht="20.399999999999999">
      <c r="A1701" s="6">
        <v>43423.20413194444</v>
      </c>
      <c r="B1701" s="7" t="str">
        <f>HYPERLINK("https://twitter.com/omar_gallego","@omar_gallego")</f>
        <v>@omar_gallego</v>
      </c>
      <c r="C1701" s="8" t="s">
        <v>4389</v>
      </c>
      <c r="D1701" s="9" t="s">
        <v>5993</v>
      </c>
      <c r="E1701" s="10" t="str">
        <f>HYPERLINK("https://twitter.com/omar_gallego/status/1064502033842081792","1064502033842081792")</f>
        <v>1064502033842081792</v>
      </c>
      <c r="F1701" s="11" t="s">
        <v>320</v>
      </c>
      <c r="G1701" s="12"/>
      <c r="H1701" s="12"/>
      <c r="I1701" s="13">
        <v>0</v>
      </c>
      <c r="J1701" s="13">
        <v>0</v>
      </c>
      <c r="K1701" s="14" t="str">
        <f t="shared" ref="K1701:K1702" si="314">HYPERLINK("http://twitter.com","Twitter Web Client")</f>
        <v>Twitter Web Client</v>
      </c>
      <c r="L1701" s="13">
        <v>565</v>
      </c>
      <c r="M1701" s="13">
        <v>2088</v>
      </c>
      <c r="N1701" s="13">
        <v>4</v>
      </c>
      <c r="O1701" s="15"/>
      <c r="P1701" s="6">
        <v>40855.440196759257</v>
      </c>
      <c r="Q1701" s="17" t="s">
        <v>4391</v>
      </c>
      <c r="R1701" s="16" t="s">
        <v>4392</v>
      </c>
      <c r="S1701" s="12"/>
      <c r="T1701" s="12"/>
      <c r="U1701" s="10" t="str">
        <f>HYPERLINK("https://pbs.twimg.com/profile_images/653240007818375168/uL2mhJ4G.jpg","View")</f>
        <v>View</v>
      </c>
    </row>
    <row r="1702" spans="1:21" ht="20.399999999999999">
      <c r="A1702" s="6">
        <v>43423.202581018515</v>
      </c>
      <c r="B1702" s="7" t="str">
        <f>HYPERLINK("https://twitter.com/Kanal_Zero15","@Kanal_Zero15")</f>
        <v>@Kanal_Zero15</v>
      </c>
      <c r="C1702" s="8" t="s">
        <v>727</v>
      </c>
      <c r="D1702" s="9" t="s">
        <v>5994</v>
      </c>
      <c r="E1702" s="10" t="str">
        <f>HYPERLINK("https://twitter.com/Kanal_Zero15/status/1064501473093066753","1064501473093066753")</f>
        <v>1064501473093066753</v>
      </c>
      <c r="F1702" s="11" t="s">
        <v>4018</v>
      </c>
      <c r="G1702" s="12"/>
      <c r="H1702" s="12"/>
      <c r="I1702" s="13">
        <v>1</v>
      </c>
      <c r="J1702" s="13">
        <v>0</v>
      </c>
      <c r="K1702" s="14" t="str">
        <f t="shared" si="314"/>
        <v>Twitter Web Client</v>
      </c>
      <c r="L1702" s="13">
        <v>894</v>
      </c>
      <c r="M1702" s="13">
        <v>492</v>
      </c>
      <c r="N1702" s="13">
        <v>19</v>
      </c>
      <c r="O1702" s="15"/>
      <c r="P1702" s="6">
        <v>42069.452731481477</v>
      </c>
      <c r="Q1702" s="12"/>
      <c r="R1702" s="16" t="s">
        <v>728</v>
      </c>
      <c r="S1702" s="12"/>
      <c r="T1702" s="12"/>
      <c r="U1702" s="10" t="str">
        <f>HYPERLINK("https://pbs.twimg.com/profile_images/1051153216388378625/IcP8KR6m.jpg","View")</f>
        <v>View</v>
      </c>
    </row>
    <row r="1703" spans="1:21" ht="20.399999999999999">
      <c r="A1703" s="6">
        <v>43423.20140046296</v>
      </c>
      <c r="B1703" s="7" t="str">
        <f>HYPERLINK("https://twitter.com/Guerraeterna","@Guerraeterna")</f>
        <v>@Guerraeterna</v>
      </c>
      <c r="C1703" s="8" t="s">
        <v>5995</v>
      </c>
      <c r="D1703" s="9" t="s">
        <v>5996</v>
      </c>
      <c r="E1703" s="10" t="str">
        <f>HYPERLINK("https://twitter.com/Guerraeterna/status/1064501046381297665","1064501046381297665")</f>
        <v>1064501046381297665</v>
      </c>
      <c r="F1703" s="11" t="s">
        <v>5997</v>
      </c>
      <c r="G1703" s="11" t="s">
        <v>5998</v>
      </c>
      <c r="H1703" s="12"/>
      <c r="I1703" s="13">
        <v>3</v>
      </c>
      <c r="J1703" s="13">
        <v>14</v>
      </c>
      <c r="K1703" s="14" t="str">
        <f>HYPERLINK("https://about.twitter.com/products/tweetdeck","TweetDeck")</f>
        <v>TweetDeck</v>
      </c>
      <c r="L1703" s="13">
        <v>52223</v>
      </c>
      <c r="M1703" s="13">
        <v>284</v>
      </c>
      <c r="N1703" s="13">
        <v>2101</v>
      </c>
      <c r="O1703" s="15"/>
      <c r="P1703" s="6">
        <v>39550.682928240742</v>
      </c>
      <c r="Q1703" s="17" t="s">
        <v>76</v>
      </c>
      <c r="R1703" s="16" t="s">
        <v>5999</v>
      </c>
      <c r="S1703" s="11" t="s">
        <v>6000</v>
      </c>
      <c r="T1703" s="12"/>
      <c r="U1703" s="10" t="str">
        <f>HYPERLINK("https://pbs.twimg.com/profile_images/2489605934/l16rhkss0kkwhvecjuv4.jpeg","View")</f>
        <v>View</v>
      </c>
    </row>
    <row r="1704" spans="1:21" ht="51">
      <c r="A1704" s="6">
        <v>43423.200138888889</v>
      </c>
      <c r="B1704" s="7" t="str">
        <f>HYPERLINK("https://twitter.com/anselcr","@anselcr")</f>
        <v>@anselcr</v>
      </c>
      <c r="C1704" s="8" t="s">
        <v>6001</v>
      </c>
      <c r="D1704" s="9" t="s">
        <v>6002</v>
      </c>
      <c r="E1704" s="10" t="str">
        <f>HYPERLINK("https://twitter.com/anselcr/status/1064500588879192064","1064500588879192064")</f>
        <v>1064500588879192064</v>
      </c>
      <c r="F1704" s="11" t="s">
        <v>6003</v>
      </c>
      <c r="G1704" s="12"/>
      <c r="H1704" s="12"/>
      <c r="I1704" s="13">
        <v>3</v>
      </c>
      <c r="J1704" s="13">
        <v>3</v>
      </c>
      <c r="K1704" s="14" t="str">
        <f>HYPERLINK("http://twitter.com","Twitter Web Client")</f>
        <v>Twitter Web Client</v>
      </c>
      <c r="L1704" s="13">
        <v>570</v>
      </c>
      <c r="M1704" s="13">
        <v>97</v>
      </c>
      <c r="N1704" s="13">
        <v>30</v>
      </c>
      <c r="O1704" s="15"/>
      <c r="P1704" s="6">
        <v>40599.566782407404</v>
      </c>
      <c r="Q1704" s="12"/>
      <c r="R1704" s="16" t="s">
        <v>6004</v>
      </c>
      <c r="S1704" s="12"/>
      <c r="T1704" s="12"/>
      <c r="U1704" s="10" t="str">
        <f>HYPERLINK("https://pbs.twimg.com/profile_images/606922656957530112/KDCpX9nK.jpg","View")</f>
        <v>View</v>
      </c>
    </row>
    <row r="1705" spans="1:21" ht="40.799999999999997">
      <c r="A1705" s="6">
        <v>43423.199259259258</v>
      </c>
      <c r="B1705" s="7" t="str">
        <f>HYPERLINK("https://twitter.com/kodiario_","@kodiario_")</f>
        <v>@kodiario_</v>
      </c>
      <c r="C1705" s="8" t="s">
        <v>3334</v>
      </c>
      <c r="D1705" s="9" t="s">
        <v>6005</v>
      </c>
      <c r="E1705" s="10" t="str">
        <f>HYPERLINK("https://twitter.com/kodiario_/status/1064500269625606144","1064500269625606144")</f>
        <v>1064500269625606144</v>
      </c>
      <c r="F1705" s="11" t="s">
        <v>6006</v>
      </c>
      <c r="G1705" s="12"/>
      <c r="H1705" s="12"/>
      <c r="I1705" s="13">
        <v>1</v>
      </c>
      <c r="J1705" s="13">
        <v>1</v>
      </c>
      <c r="K1705" s="14" t="str">
        <f>HYPERLINK("http://twitter.com/download/android","Twitter for Android")</f>
        <v>Twitter for Android</v>
      </c>
      <c r="L1705" s="13">
        <v>4595</v>
      </c>
      <c r="M1705" s="13">
        <v>322</v>
      </c>
      <c r="N1705" s="13">
        <v>55</v>
      </c>
      <c r="O1705" s="15"/>
      <c r="P1705" s="6">
        <v>42563.678425925929</v>
      </c>
      <c r="Q1705" s="12"/>
      <c r="R1705" s="16" t="s">
        <v>3336</v>
      </c>
      <c r="S1705" s="12"/>
      <c r="T1705" s="12"/>
      <c r="U1705" s="10" t="str">
        <f>HYPERLINK("https://pbs.twimg.com/profile_images/977352060571148288/z2lxbv4P.jpg","View")</f>
        <v>View</v>
      </c>
    </row>
    <row r="1706" spans="1:21" ht="40.799999999999997">
      <c r="A1706" s="6">
        <v>43423.197581018518</v>
      </c>
      <c r="B1706" s="7" t="str">
        <f>HYPERLINK("https://twitter.com/Grannazareno","@Grannazareno")</f>
        <v>@Grannazareno</v>
      </c>
      <c r="C1706" s="8" t="s">
        <v>6007</v>
      </c>
      <c r="D1706" s="9" t="s">
        <v>6008</v>
      </c>
      <c r="E1706" s="10" t="str">
        <f>HYPERLINK("https://twitter.com/Grannazareno/status/1064499660939816960","1064499660939816960")</f>
        <v>1064499660939816960</v>
      </c>
      <c r="F1706" s="11" t="s">
        <v>5850</v>
      </c>
      <c r="G1706" s="12"/>
      <c r="H1706" s="12"/>
      <c r="I1706" s="13">
        <v>1</v>
      </c>
      <c r="J1706" s="13">
        <v>0</v>
      </c>
      <c r="K1706" s="14" t="str">
        <f>HYPERLINK("http://twitter.com","Twitter Web Client")</f>
        <v>Twitter Web Client</v>
      </c>
      <c r="L1706" s="13">
        <v>4947</v>
      </c>
      <c r="M1706" s="13">
        <v>3697</v>
      </c>
      <c r="N1706" s="13">
        <v>16</v>
      </c>
      <c r="O1706" s="15"/>
      <c r="P1706" s="6">
        <v>40675.531793981485</v>
      </c>
      <c r="Q1706" s="17" t="s">
        <v>6009</v>
      </c>
      <c r="R1706" s="16" t="s">
        <v>6010</v>
      </c>
      <c r="S1706" s="12"/>
      <c r="T1706" s="12"/>
      <c r="U1706" s="10" t="str">
        <f>HYPERLINK("https://pbs.twimg.com/profile_images/515188346985783296/Ly-kPDY2.jpeg","View")</f>
        <v>View</v>
      </c>
    </row>
    <row r="1707" spans="1:21" ht="20.399999999999999">
      <c r="A1707" s="6">
        <v>43423.19736111111</v>
      </c>
      <c r="B1707" s="7" t="str">
        <f>HYPERLINK("https://twitter.com/psoelagunaduero","@psoelagunaduero")</f>
        <v>@psoelagunaduero</v>
      </c>
      <c r="C1707" s="8" t="s">
        <v>6011</v>
      </c>
      <c r="D1707" s="9" t="s">
        <v>3037</v>
      </c>
      <c r="E1707" s="10" t="str">
        <f>HYPERLINK("https://twitter.com/psoelagunaduero/status/1064499582887964673","1064499582887964673")</f>
        <v>1064499582887964673</v>
      </c>
      <c r="F1707" s="11" t="s">
        <v>6012</v>
      </c>
      <c r="G1707" s="12"/>
      <c r="H1707" s="12"/>
      <c r="I1707" s="13">
        <v>1</v>
      </c>
      <c r="J1707" s="13">
        <v>0</v>
      </c>
      <c r="K1707" s="14" t="str">
        <f t="shared" ref="K1707:K1708" si="315">HYPERLINK("http://www.facebook.com/twitter","Facebook")</f>
        <v>Facebook</v>
      </c>
      <c r="L1707" s="13">
        <v>359</v>
      </c>
      <c r="M1707" s="13">
        <v>208</v>
      </c>
      <c r="N1707" s="13">
        <v>9</v>
      </c>
      <c r="O1707" s="15"/>
      <c r="P1707" s="6">
        <v>40650.577210648145</v>
      </c>
      <c r="Q1707" s="17" t="s">
        <v>6013</v>
      </c>
      <c r="R1707" s="16" t="s">
        <v>6014</v>
      </c>
      <c r="S1707" s="11" t="s">
        <v>6015</v>
      </c>
      <c r="T1707" s="12"/>
      <c r="U1707" s="10" t="str">
        <f>HYPERLINK("https://pbs.twimg.com/profile_images/999244691991232512/w2N0CaQm.jpg","View")</f>
        <v>View</v>
      </c>
    </row>
    <row r="1708" spans="1:21" ht="30.6">
      <c r="A1708" s="6">
        <v>43423.196736111116</v>
      </c>
      <c r="B1708" s="7" t="str">
        <f>HYPERLINK("https://twitter.com/SePueDAlmassora","@SePueDAlmassora")</f>
        <v>@SePueDAlmassora</v>
      </c>
      <c r="C1708" s="8" t="s">
        <v>6016</v>
      </c>
      <c r="D1708" s="9" t="s">
        <v>6017</v>
      </c>
      <c r="E1708" s="10" t="str">
        <f>HYPERLINK("https://twitter.com/SePueDAlmassora/status/1064499354751442944","1064499354751442944")</f>
        <v>1064499354751442944</v>
      </c>
      <c r="F1708" s="11" t="s">
        <v>6018</v>
      </c>
      <c r="G1708" s="12"/>
      <c r="H1708" s="12"/>
      <c r="I1708" s="13">
        <v>0</v>
      </c>
      <c r="J1708" s="13">
        <v>0</v>
      </c>
      <c r="K1708" s="14" t="str">
        <f t="shared" si="315"/>
        <v>Facebook</v>
      </c>
      <c r="L1708" s="13">
        <v>96</v>
      </c>
      <c r="M1708" s="13">
        <v>240</v>
      </c>
      <c r="N1708" s="13">
        <v>4</v>
      </c>
      <c r="O1708" s="15"/>
      <c r="P1708" s="6">
        <v>42040.631527777776</v>
      </c>
      <c r="Q1708" s="17" t="s">
        <v>6019</v>
      </c>
      <c r="R1708" s="16" t="s">
        <v>6020</v>
      </c>
      <c r="S1708" s="11" t="s">
        <v>6021</v>
      </c>
      <c r="T1708" s="12"/>
      <c r="U1708" s="10" t="str">
        <f>HYPERLINK("https://pbs.twimg.com/profile_images/571743044920029184/k1HZonny.jpeg","View")</f>
        <v>View</v>
      </c>
    </row>
    <row r="1709" spans="1:21" ht="20.399999999999999">
      <c r="A1709" s="6">
        <v>43423.196550925924</v>
      </c>
      <c r="B1709" s="7" t="str">
        <f>HYPERLINK("https://twitter.com/JimTonic14","@JimTonic14")</f>
        <v>@JimTonic14</v>
      </c>
      <c r="C1709" s="8" t="s">
        <v>6022</v>
      </c>
      <c r="D1709" s="9" t="s">
        <v>6023</v>
      </c>
      <c r="E1709" s="10" t="str">
        <f>HYPERLINK("https://twitter.com/JimTonic14/status/1064499288032649216","1064499288032649216")</f>
        <v>1064499288032649216</v>
      </c>
      <c r="F1709" s="11" t="s">
        <v>5818</v>
      </c>
      <c r="G1709" s="12"/>
      <c r="H1709" s="12"/>
      <c r="I1709" s="13">
        <v>0</v>
      </c>
      <c r="J1709" s="13">
        <v>1</v>
      </c>
      <c r="K1709" s="14" t="str">
        <f>HYPERLINK("http://twitter.com/download/android","Twitter for Android")</f>
        <v>Twitter for Android</v>
      </c>
      <c r="L1709" s="13">
        <v>219</v>
      </c>
      <c r="M1709" s="13">
        <v>1065</v>
      </c>
      <c r="N1709" s="13">
        <v>4</v>
      </c>
      <c r="O1709" s="15"/>
      <c r="P1709" s="6">
        <v>42549.426990740743</v>
      </c>
      <c r="Q1709" s="12"/>
      <c r="R1709" s="16" t="s">
        <v>6024</v>
      </c>
      <c r="S1709" s="12"/>
      <c r="T1709" s="12"/>
      <c r="U1709" s="10" t="str">
        <f>HYPERLINK("https://pbs.twimg.com/profile_images/886617079079718913/XmKO8plp.jpg","View")</f>
        <v>View</v>
      </c>
    </row>
    <row r="1710" spans="1:21" ht="20.399999999999999">
      <c r="A1710" s="6">
        <v>43423.195810185185</v>
      </c>
      <c r="B1710" s="7" t="str">
        <f>HYPERLINK("https://twitter.com/EstreRucandio","@EstreRucandio")</f>
        <v>@EstreRucandio</v>
      </c>
      <c r="C1710" s="8" t="s">
        <v>6025</v>
      </c>
      <c r="D1710" s="9" t="s">
        <v>3900</v>
      </c>
      <c r="E1710" s="10" t="str">
        <f>HYPERLINK("https://twitter.com/EstreRucandio/status/1064499021480374272","1064499021480374272")</f>
        <v>1064499021480374272</v>
      </c>
      <c r="F1710" s="11" t="s">
        <v>320</v>
      </c>
      <c r="G1710" s="12"/>
      <c r="H1710" s="12"/>
      <c r="I1710" s="13">
        <v>0</v>
      </c>
      <c r="J1710" s="13">
        <v>0</v>
      </c>
      <c r="K1710" s="14" t="str">
        <f t="shared" ref="K1710:K1711" si="316">HYPERLINK("http://twitter.com","Twitter Web Client")</f>
        <v>Twitter Web Client</v>
      </c>
      <c r="L1710" s="13">
        <v>80</v>
      </c>
      <c r="M1710" s="13">
        <v>73</v>
      </c>
      <c r="N1710" s="13">
        <v>0</v>
      </c>
      <c r="O1710" s="15"/>
      <c r="P1710" s="6">
        <v>43143.281770833331</v>
      </c>
      <c r="Q1710" s="17" t="s">
        <v>87</v>
      </c>
      <c r="R1710" s="16" t="s">
        <v>6026</v>
      </c>
      <c r="S1710" s="12"/>
      <c r="T1710" s="12"/>
      <c r="U1710" s="10" t="str">
        <f>HYPERLINK("https://pbs.twimg.com/profile_images/963751245445062657/16dxHcD6.jpg","View")</f>
        <v>View</v>
      </c>
    </row>
    <row r="1711" spans="1:21" ht="20.399999999999999">
      <c r="A1711" s="6">
        <v>43423.195231481484</v>
      </c>
      <c r="B1711" s="7" t="str">
        <f>HYPERLINK("https://twitter.com/rabasco_i","@rabasco_i")</f>
        <v>@rabasco_i</v>
      </c>
      <c r="C1711" s="8" t="s">
        <v>6027</v>
      </c>
      <c r="D1711" s="9" t="s">
        <v>3900</v>
      </c>
      <c r="E1711" s="10" t="str">
        <f>HYPERLINK("https://twitter.com/rabasco_i/status/1064498809831661568","1064498809831661568")</f>
        <v>1064498809831661568</v>
      </c>
      <c r="F1711" s="11" t="s">
        <v>320</v>
      </c>
      <c r="G1711" s="12"/>
      <c r="H1711" s="12"/>
      <c r="I1711" s="13">
        <v>0</v>
      </c>
      <c r="J1711" s="13">
        <v>0</v>
      </c>
      <c r="K1711" s="14" t="str">
        <f t="shared" si="316"/>
        <v>Twitter Web Client</v>
      </c>
      <c r="L1711" s="13">
        <v>631</v>
      </c>
      <c r="M1711" s="13">
        <v>1588</v>
      </c>
      <c r="N1711" s="13">
        <v>15</v>
      </c>
      <c r="O1711" s="15"/>
      <c r="P1711" s="6">
        <v>41455.426724537036</v>
      </c>
      <c r="Q1711" s="17" t="s">
        <v>187</v>
      </c>
      <c r="R1711" s="16" t="s">
        <v>6028</v>
      </c>
      <c r="S1711" s="12"/>
      <c r="T1711" s="12"/>
      <c r="U1711" s="10" t="str">
        <f>HYPERLINK("https://pbs.twimg.com/profile_images/378800000068989607/7498a5c7c95910a8481fd210f415f044.jpeg","View")</f>
        <v>View</v>
      </c>
    </row>
    <row r="1712" spans="1:21" ht="61.2">
      <c r="A1712" s="6">
        <v>43423.193252314813</v>
      </c>
      <c r="B1712" s="7" t="str">
        <f>HYPERLINK("https://twitter.com/elperritopiloto","@elperritopiloto")</f>
        <v>@elperritopiloto</v>
      </c>
      <c r="C1712" s="8" t="s">
        <v>6029</v>
      </c>
      <c r="D1712" s="9" t="s">
        <v>6030</v>
      </c>
      <c r="E1712" s="10" t="str">
        <f>HYPERLINK("https://twitter.com/elperritopiloto/status/1064498095139024896","1064498095139024896")</f>
        <v>1064498095139024896</v>
      </c>
      <c r="F1712" s="11" t="s">
        <v>5117</v>
      </c>
      <c r="G1712" s="11" t="s">
        <v>5118</v>
      </c>
      <c r="H1712" s="12"/>
      <c r="I1712" s="13">
        <v>0</v>
      </c>
      <c r="J1712" s="13">
        <v>3</v>
      </c>
      <c r="K1712" s="14" t="str">
        <f>HYPERLINK("http://twitter.com/download/iphone","Twitter for iPhone")</f>
        <v>Twitter for iPhone</v>
      </c>
      <c r="L1712" s="13">
        <v>1433</v>
      </c>
      <c r="M1712" s="13">
        <v>865</v>
      </c>
      <c r="N1712" s="13">
        <v>31</v>
      </c>
      <c r="O1712" s="15"/>
      <c r="P1712" s="6">
        <v>40371.579363425924</v>
      </c>
      <c r="Q1712" s="17" t="s">
        <v>6031</v>
      </c>
      <c r="R1712" s="16" t="s">
        <v>6032</v>
      </c>
      <c r="S1712" s="11" t="s">
        <v>6033</v>
      </c>
      <c r="T1712" s="12"/>
      <c r="U1712" s="10" t="str">
        <f>HYPERLINK("https://pbs.twimg.com/profile_images/1021040466341638146/L2nTaNDb.jpg","View")</f>
        <v>View</v>
      </c>
    </row>
    <row r="1713" spans="1:21" ht="30.6">
      <c r="A1713" s="6">
        <v>43423.192384259259</v>
      </c>
      <c r="B1713" s="7" t="str">
        <f>HYPERLINK("https://twitter.com/carlespastor","@carlespastor")</f>
        <v>@carlespastor</v>
      </c>
      <c r="C1713" s="8" t="s">
        <v>6034</v>
      </c>
      <c r="D1713" s="9" t="s">
        <v>6035</v>
      </c>
      <c r="E1713" s="10" t="str">
        <f>HYPERLINK("https://twitter.com/carlespastor/status/1064497778200596481","1064497778200596481")</f>
        <v>1064497778200596481</v>
      </c>
      <c r="F1713" s="11" t="s">
        <v>320</v>
      </c>
      <c r="G1713" s="12"/>
      <c r="H1713" s="12"/>
      <c r="I1713" s="13">
        <v>6</v>
      </c>
      <c r="J1713" s="13">
        <v>7</v>
      </c>
      <c r="K1713" s="14" t="str">
        <f t="shared" ref="K1713:K1714" si="317">HYPERLINK("http://twitter.com/#!/download/ipad","Twitter for iPad")</f>
        <v>Twitter for iPad</v>
      </c>
      <c r="L1713" s="13">
        <v>8035</v>
      </c>
      <c r="M1713" s="13">
        <v>7618</v>
      </c>
      <c r="N1713" s="13">
        <v>82</v>
      </c>
      <c r="O1713" s="15"/>
      <c r="P1713" s="6">
        <v>40078.164143518516</v>
      </c>
      <c r="Q1713" s="17" t="s">
        <v>6036</v>
      </c>
      <c r="R1713" s="16" t="s">
        <v>6037</v>
      </c>
      <c r="S1713" s="11" t="s">
        <v>6038</v>
      </c>
      <c r="T1713" s="12"/>
      <c r="U1713" s="10" t="str">
        <f>HYPERLINK("https://pbs.twimg.com/profile_images/974682861063360512/BxPAgqMX.jpg","View")</f>
        <v>View</v>
      </c>
    </row>
    <row r="1714" spans="1:21" ht="30.6">
      <c r="A1714" s="6">
        <v>43423.190104166672</v>
      </c>
      <c r="B1714" s="7" t="str">
        <f>HYPERLINK("https://twitter.com/PedroPmotero","@PedroPmotero")</f>
        <v>@PedroPmotero</v>
      </c>
      <c r="C1714" s="8" t="s">
        <v>1057</v>
      </c>
      <c r="D1714" s="9" t="s">
        <v>6039</v>
      </c>
      <c r="E1714" s="10" t="str">
        <f>HYPERLINK("https://twitter.com/PedroPmotero/status/1064496954309267456","1064496954309267456")</f>
        <v>1064496954309267456</v>
      </c>
      <c r="F1714" s="12"/>
      <c r="G1714" s="11" t="s">
        <v>6040</v>
      </c>
      <c r="H1714" s="12"/>
      <c r="I1714" s="13">
        <v>2</v>
      </c>
      <c r="J1714" s="13">
        <v>3</v>
      </c>
      <c r="K1714" s="14" t="str">
        <f t="shared" si="317"/>
        <v>Twitter for iPad</v>
      </c>
      <c r="L1714" s="13">
        <v>15402</v>
      </c>
      <c r="M1714" s="13">
        <v>10701</v>
      </c>
      <c r="N1714" s="13">
        <v>105</v>
      </c>
      <c r="O1714" s="15"/>
      <c r="P1714" s="6">
        <v>40949.024178240739</v>
      </c>
      <c r="Q1714" s="17" t="s">
        <v>1058</v>
      </c>
      <c r="R1714" s="16" t="s">
        <v>1059</v>
      </c>
      <c r="S1714" s="12"/>
      <c r="T1714" s="12"/>
      <c r="U1714" s="10" t="str">
        <f>HYPERLINK("https://pbs.twimg.com/profile_images/1060236053385220096/HHWME8I9.jpg","View")</f>
        <v>View</v>
      </c>
    </row>
    <row r="1715" spans="1:21" ht="20.399999999999999">
      <c r="A1715" s="6">
        <v>43423.187708333338</v>
      </c>
      <c r="B1715" s="7" t="str">
        <f>HYPERLINK("https://twitter.com/DIARIODELVALLE","@DIARIODELVALLE")</f>
        <v>@DIARIODELVALLE</v>
      </c>
      <c r="C1715" s="8" t="s">
        <v>4461</v>
      </c>
      <c r="D1715" s="9" t="s">
        <v>3900</v>
      </c>
      <c r="E1715" s="10" t="str">
        <f>HYPERLINK("https://twitter.com/DIARIODELVALLE/status/1064496082942595072","1064496082942595072")</f>
        <v>1064496082942595072</v>
      </c>
      <c r="F1715" s="11" t="s">
        <v>320</v>
      </c>
      <c r="G1715" s="12"/>
      <c r="H1715" s="12"/>
      <c r="I1715" s="13">
        <v>0</v>
      </c>
      <c r="J1715" s="13">
        <v>0</v>
      </c>
      <c r="K1715" s="14" t="str">
        <f>HYPERLINK("http://twitter.com","Twitter Web Client")</f>
        <v>Twitter Web Client</v>
      </c>
      <c r="L1715" s="13">
        <v>135</v>
      </c>
      <c r="M1715" s="13">
        <v>87</v>
      </c>
      <c r="N1715" s="13">
        <v>6</v>
      </c>
      <c r="O1715" s="15"/>
      <c r="P1715" s="6">
        <v>41266.175069444442</v>
      </c>
      <c r="Q1715" s="17" t="s">
        <v>29</v>
      </c>
      <c r="R1715" s="16" t="s">
        <v>4462</v>
      </c>
      <c r="S1715" s="12"/>
      <c r="T1715" s="12"/>
      <c r="U1715" s="10" t="str">
        <f>HYPERLINK("https://pbs.twimg.com/profile_images/3010276957/438470614cd1b8c5d849e51bf174cd85.jpeg","View")</f>
        <v>View</v>
      </c>
    </row>
    <row r="1716" spans="1:21" ht="20.399999999999999">
      <c r="A1716" s="6">
        <v>43423.186608796299</v>
      </c>
      <c r="B1716" s="7" t="str">
        <f>HYPERLINK("https://twitter.com/errajota","@errajota")</f>
        <v>@errajota</v>
      </c>
      <c r="C1716" s="8" t="s">
        <v>6041</v>
      </c>
      <c r="D1716" s="9" t="s">
        <v>6042</v>
      </c>
      <c r="E1716" s="10" t="str">
        <f>HYPERLINK("https://twitter.com/errajota/status/1064495683741331456","1064495683741331456")</f>
        <v>1064495683741331456</v>
      </c>
      <c r="F1716" s="11" t="s">
        <v>6043</v>
      </c>
      <c r="G1716" s="12"/>
      <c r="H1716" s="12"/>
      <c r="I1716" s="13">
        <v>0</v>
      </c>
      <c r="J1716" s="13">
        <v>0</v>
      </c>
      <c r="K1716" s="14" t="str">
        <f>HYPERLINK("http://twitter.com/download/android","Twitter for Android")</f>
        <v>Twitter for Android</v>
      </c>
      <c r="L1716" s="13">
        <v>1095</v>
      </c>
      <c r="M1716" s="13">
        <v>989</v>
      </c>
      <c r="N1716" s="13">
        <v>25</v>
      </c>
      <c r="O1716" s="15"/>
      <c r="P1716" s="6">
        <v>40786.730891203704</v>
      </c>
      <c r="Q1716" s="17" t="s">
        <v>1569</v>
      </c>
      <c r="R1716" s="16" t="s">
        <v>6044</v>
      </c>
      <c r="S1716" s="12"/>
      <c r="T1716" s="12"/>
      <c r="U1716" s="10" t="str">
        <f>HYPERLINK("https://pbs.twimg.com/profile_images/1023271048979128320/JuseoCb6.jpg","View")</f>
        <v>View</v>
      </c>
    </row>
    <row r="1717" spans="1:21" ht="20.399999999999999">
      <c r="A1717" s="6">
        <v>43423.185474537036</v>
      </c>
      <c r="B1717" s="7" t="str">
        <f>HYPERLINK("https://twitter.com/elperiodicodigi","@elperiodicodigi")</f>
        <v>@elperiodicodigi</v>
      </c>
      <c r="C1717" s="8" t="s">
        <v>1928</v>
      </c>
      <c r="D1717" s="9" t="s">
        <v>6045</v>
      </c>
      <c r="E1717" s="10" t="str">
        <f>HYPERLINK("https://twitter.com/elperiodicodigi/status/1064495276629516294","1064495276629516294")</f>
        <v>1064495276629516294</v>
      </c>
      <c r="F1717" s="11" t="s">
        <v>6046</v>
      </c>
      <c r="G1717" s="11" t="s">
        <v>6047</v>
      </c>
      <c r="H1717" s="12"/>
      <c r="I1717" s="13">
        <v>0</v>
      </c>
      <c r="J1717" s="13">
        <v>0</v>
      </c>
      <c r="K1717" s="14" t="str">
        <f>HYPERLINK("https://dlvrit.com/","dlvr.it")</f>
        <v>dlvr.it</v>
      </c>
      <c r="L1717" s="13">
        <v>3</v>
      </c>
      <c r="M1717" s="13">
        <v>44</v>
      </c>
      <c r="N1717" s="13">
        <v>0</v>
      </c>
      <c r="O1717" s="15"/>
      <c r="P1717" s="6">
        <v>43333.184791666667</v>
      </c>
      <c r="Q1717" s="17" t="s">
        <v>26</v>
      </c>
      <c r="R1717" s="16" t="s">
        <v>1932</v>
      </c>
      <c r="S1717" s="12"/>
      <c r="T1717" s="12"/>
      <c r="U1717" s="10" t="str">
        <f>HYPERLINK("https://pbs.twimg.com/profile_images/1031870273849577472/rQ3rguMh.jpg","View")</f>
        <v>View</v>
      </c>
    </row>
    <row r="1718" spans="1:21" ht="40.799999999999997">
      <c r="A1718" s="6">
        <v>43423.182256944448</v>
      </c>
      <c r="B1718" s="7" t="str">
        <f>HYPERLINK("https://twitter.com/Giminiano","@Giminiano")</f>
        <v>@Giminiano</v>
      </c>
      <c r="C1718" s="8" t="s">
        <v>6048</v>
      </c>
      <c r="D1718" s="9" t="s">
        <v>6049</v>
      </c>
      <c r="E1718" s="10" t="str">
        <f>HYPERLINK("https://twitter.com/Giminiano/status/1064494110042669057","1064494110042669057")</f>
        <v>1064494110042669057</v>
      </c>
      <c r="F1718" s="12"/>
      <c r="G1718" s="12"/>
      <c r="H1718" s="12"/>
      <c r="I1718" s="13">
        <v>0</v>
      </c>
      <c r="J1718" s="13">
        <v>0</v>
      </c>
      <c r="K1718" s="14" t="str">
        <f>HYPERLINK("http://twitter.com/download/android","Twitter for Android")</f>
        <v>Twitter for Android</v>
      </c>
      <c r="L1718" s="13">
        <v>1396</v>
      </c>
      <c r="M1718" s="13">
        <v>3055</v>
      </c>
      <c r="N1718" s="13">
        <v>11</v>
      </c>
      <c r="O1718" s="15"/>
      <c r="P1718" s="6">
        <v>40141.604733796295</v>
      </c>
      <c r="Q1718" s="17" t="s">
        <v>6050</v>
      </c>
      <c r="R1718" s="16" t="s">
        <v>6051</v>
      </c>
      <c r="S1718" s="12"/>
      <c r="T1718" s="12"/>
      <c r="U1718" s="10" t="str">
        <f>HYPERLINK("https://pbs.twimg.com/profile_images/1556992973/Humberto_Avatar.jpg","View")</f>
        <v>View</v>
      </c>
    </row>
    <row r="1719" spans="1:21" ht="20.399999999999999">
      <c r="A1719" s="6">
        <v>43423.179861111115</v>
      </c>
      <c r="B1719" s="7" t="str">
        <f>HYPERLINK("https://twitter.com/jovenandaluz","@jovenandaluz")</f>
        <v>@jovenandaluz</v>
      </c>
      <c r="C1719" s="8" t="s">
        <v>4417</v>
      </c>
      <c r="D1719" s="9" t="s">
        <v>4418</v>
      </c>
      <c r="E1719" s="10" t="str">
        <f>HYPERLINK("https://twitter.com/jovenandaluz/status/1064493238931853315","1064493238931853315")</f>
        <v>1064493238931853315</v>
      </c>
      <c r="F1719" s="11" t="s">
        <v>3031</v>
      </c>
      <c r="G1719" s="12"/>
      <c r="H1719" s="12"/>
      <c r="I1719" s="13">
        <v>0</v>
      </c>
      <c r="J1719" s="13">
        <v>0</v>
      </c>
      <c r="K1719" s="14" t="str">
        <f>HYPERLINK("http://twitter.com","Twitter Web Client")</f>
        <v>Twitter Web Client</v>
      </c>
      <c r="L1719" s="13">
        <v>2552</v>
      </c>
      <c r="M1719" s="13">
        <v>2583</v>
      </c>
      <c r="N1719" s="13">
        <v>11</v>
      </c>
      <c r="O1719" s="15"/>
      <c r="P1719" s="6">
        <v>41374.602905092594</v>
      </c>
      <c r="Q1719" s="12"/>
      <c r="R1719" s="16" t="s">
        <v>4421</v>
      </c>
      <c r="S1719" s="12"/>
      <c r="T1719" s="12"/>
      <c r="U1719" s="10" t="str">
        <f>HYPERLINK("https://pbs.twimg.com/profile_images/925604270266777601/iLksBSPw.jpg","View")</f>
        <v>View</v>
      </c>
    </row>
    <row r="1720" spans="1:21" ht="20.399999999999999">
      <c r="A1720" s="6">
        <v>43423.179641203707</v>
      </c>
      <c r="B1720" s="7" t="str">
        <f>HYPERLINK("https://twitter.com/ventilleroamori","@ventilleroamori")</f>
        <v>@ventilleroamori</v>
      </c>
      <c r="C1720" s="8" t="s">
        <v>6052</v>
      </c>
      <c r="D1720" s="9" t="s">
        <v>3067</v>
      </c>
      <c r="E1720" s="10" t="str">
        <f>HYPERLINK("https://twitter.com/ventilleroamori/status/1064493162394279942","1064493162394279942")</f>
        <v>1064493162394279942</v>
      </c>
      <c r="F1720" s="11" t="s">
        <v>320</v>
      </c>
      <c r="G1720" s="12"/>
      <c r="H1720" s="12"/>
      <c r="I1720" s="13">
        <v>0</v>
      </c>
      <c r="J1720" s="13">
        <v>0</v>
      </c>
      <c r="K1720" s="14" t="str">
        <f>HYPERLINK("http://www.facebook.com/twitter","Facebook")</f>
        <v>Facebook</v>
      </c>
      <c r="L1720" s="13">
        <v>182</v>
      </c>
      <c r="M1720" s="13">
        <v>616</v>
      </c>
      <c r="N1720" s="13">
        <v>5</v>
      </c>
      <c r="O1720" s="15"/>
      <c r="P1720" s="6">
        <v>41520.392291666663</v>
      </c>
      <c r="Q1720" s="17" t="s">
        <v>6053</v>
      </c>
      <c r="R1720" s="16" t="s">
        <v>6054</v>
      </c>
      <c r="S1720" s="12"/>
      <c r="T1720" s="12"/>
      <c r="U1720" s="10" t="str">
        <f>HYPERLINK("https://pbs.twimg.com/profile_images/976735245448998913/naExoQUY.jpg","View")</f>
        <v>View</v>
      </c>
    </row>
    <row r="1721" spans="1:21" ht="30.6">
      <c r="A1721" s="6">
        <v>43423.175775462965</v>
      </c>
      <c r="B1721" s="7" t="str">
        <f>HYPERLINK("https://twitter.com/Platero22","@Platero22")</f>
        <v>@Platero22</v>
      </c>
      <c r="C1721" s="8" t="s">
        <v>1376</v>
      </c>
      <c r="D1721" s="9" t="s">
        <v>6055</v>
      </c>
      <c r="E1721" s="10" t="str">
        <f>HYPERLINK("https://twitter.com/Platero22/status/1064491759231733761","1064491759231733761")</f>
        <v>1064491759231733761</v>
      </c>
      <c r="F1721" s="11" t="s">
        <v>320</v>
      </c>
      <c r="G1721" s="12"/>
      <c r="H1721" s="12"/>
      <c r="I1721" s="13">
        <v>5</v>
      </c>
      <c r="J1721" s="13">
        <v>4</v>
      </c>
      <c r="K1721" s="14" t="str">
        <f t="shared" ref="K1721:K1723" si="318">HYPERLINK("http://twitter.com","Twitter Web Client")</f>
        <v>Twitter Web Client</v>
      </c>
      <c r="L1721" s="13">
        <v>1680</v>
      </c>
      <c r="M1721" s="13">
        <v>1273</v>
      </c>
      <c r="N1721" s="13">
        <v>20</v>
      </c>
      <c r="O1721" s="15"/>
      <c r="P1721" s="6">
        <v>40014.197615740741</v>
      </c>
      <c r="Q1721" s="17" t="s">
        <v>902</v>
      </c>
      <c r="R1721" s="16" t="s">
        <v>1377</v>
      </c>
      <c r="S1721" s="12"/>
      <c r="T1721" s="12"/>
      <c r="U1721" s="10" t="str">
        <f>HYPERLINK("https://pbs.twimg.com/profile_images/737661162322571264/PUo7QEJ-.jpg","View")</f>
        <v>View</v>
      </c>
    </row>
    <row r="1722" spans="1:21" ht="30.6">
      <c r="A1722" s="6">
        <v>43423.175219907411</v>
      </c>
      <c r="B1722" s="7" t="str">
        <f>HYPERLINK("https://twitter.com/spastormartinez","@spastormartinez")</f>
        <v>@spastormartinez</v>
      </c>
      <c r="C1722" s="8" t="s">
        <v>406</v>
      </c>
      <c r="D1722" s="9" t="s">
        <v>3900</v>
      </c>
      <c r="E1722" s="10" t="str">
        <f>HYPERLINK("https://twitter.com/spastormartinez/status/1064491559507374082","1064491559507374082")</f>
        <v>1064491559507374082</v>
      </c>
      <c r="F1722" s="11" t="s">
        <v>320</v>
      </c>
      <c r="G1722" s="12"/>
      <c r="H1722" s="12"/>
      <c r="I1722" s="13">
        <v>3</v>
      </c>
      <c r="J1722" s="13">
        <v>1</v>
      </c>
      <c r="K1722" s="14" t="str">
        <f t="shared" si="318"/>
        <v>Twitter Web Client</v>
      </c>
      <c r="L1722" s="13">
        <v>3198</v>
      </c>
      <c r="M1722" s="13">
        <v>2803</v>
      </c>
      <c r="N1722" s="13">
        <v>22</v>
      </c>
      <c r="O1722" s="15"/>
      <c r="P1722" s="6">
        <v>41408.449097222227</v>
      </c>
      <c r="Q1722" s="17" t="s">
        <v>408</v>
      </c>
      <c r="R1722" s="16" t="s">
        <v>409</v>
      </c>
      <c r="S1722" s="12"/>
      <c r="T1722" s="12"/>
      <c r="U1722" s="10" t="str">
        <f>HYPERLINK("https://pbs.twimg.com/profile_images/519233687859122176/yPsHPdHV.jpeg","View")</f>
        <v>View</v>
      </c>
    </row>
    <row r="1723" spans="1:21" ht="30.6">
      <c r="A1723" s="6">
        <v>43423.174525462964</v>
      </c>
      <c r="B1723" s="7" t="str">
        <f>HYPERLINK("https://twitter.com/PuebloOrig_tuc","@PuebloOrig_tuc")</f>
        <v>@PuebloOrig_tuc</v>
      </c>
      <c r="C1723" s="8" t="s">
        <v>6057</v>
      </c>
      <c r="D1723" s="9" t="s">
        <v>6058</v>
      </c>
      <c r="E1723" s="10" t="str">
        <f>HYPERLINK("https://twitter.com/PuebloOrig_tuc/status/1064491304913170432","1064491304913170432")</f>
        <v>1064491304913170432</v>
      </c>
      <c r="F1723" s="11" t="s">
        <v>6060</v>
      </c>
      <c r="G1723" s="12"/>
      <c r="H1723" s="12"/>
      <c r="I1723" s="13">
        <v>0</v>
      </c>
      <c r="J1723" s="13">
        <v>0</v>
      </c>
      <c r="K1723" s="14" t="str">
        <f t="shared" si="318"/>
        <v>Twitter Web Client</v>
      </c>
      <c r="L1723" s="13">
        <v>385</v>
      </c>
      <c r="M1723" s="13">
        <v>964</v>
      </c>
      <c r="N1723" s="13">
        <v>1</v>
      </c>
      <c r="O1723" s="15"/>
      <c r="P1723" s="6">
        <v>41508.800983796296</v>
      </c>
      <c r="Q1723" s="17" t="s">
        <v>6061</v>
      </c>
      <c r="R1723" s="16" t="s">
        <v>6062</v>
      </c>
      <c r="S1723" s="11" t="s">
        <v>6063</v>
      </c>
      <c r="T1723" s="12"/>
      <c r="U1723" s="10" t="str">
        <f>HYPERLINK("https://pbs.twimg.com/profile_images/378800000342535148/3c34e8a4f2079ebe5664279f263789fb.jpeg","View")</f>
        <v>View</v>
      </c>
    </row>
    <row r="1724" spans="1:21" ht="20.399999999999999">
      <c r="A1724" s="6">
        <v>43423.174456018518</v>
      </c>
      <c r="B1724" s="7" t="str">
        <f>HYPERLINK("https://twitter.com/eldiarioes","@eldiarioes")</f>
        <v>@eldiarioes</v>
      </c>
      <c r="C1724" s="20" t="s">
        <v>687</v>
      </c>
      <c r="D1724" s="9" t="s">
        <v>5846</v>
      </c>
      <c r="E1724" s="10" t="str">
        <f>HYPERLINK("https://twitter.com/eldiarioes/status/1064491283610259456","1064491283610259456")</f>
        <v>1064491283610259456</v>
      </c>
      <c r="F1724" s="11" t="s">
        <v>5453</v>
      </c>
      <c r="G1724" s="11" t="s">
        <v>6064</v>
      </c>
      <c r="H1724" s="12"/>
      <c r="I1724" s="13">
        <v>14</v>
      </c>
      <c r="J1724" s="13">
        <v>5</v>
      </c>
      <c r="K1724" s="14" t="str">
        <f>HYPERLINK("https://about.twitter.com/products/tweetdeck","TweetDeck")</f>
        <v>TweetDeck</v>
      </c>
      <c r="L1724" s="13">
        <v>936615</v>
      </c>
      <c r="M1724" s="13">
        <v>456</v>
      </c>
      <c r="N1724" s="13">
        <v>11235</v>
      </c>
      <c r="O1724" s="19" t="s">
        <v>74</v>
      </c>
      <c r="P1724" s="6">
        <v>40992.505856481483</v>
      </c>
      <c r="Q1724" s="12"/>
      <c r="R1724" s="16" t="s">
        <v>692</v>
      </c>
      <c r="S1724" s="11" t="s">
        <v>693</v>
      </c>
      <c r="T1724" s="12"/>
      <c r="U1724" s="10" t="str">
        <f>HYPERLINK("https://pbs.twimg.com/profile_images/1016600645292511232/eYIkIK2s.jpg","View")</f>
        <v>View</v>
      </c>
    </row>
    <row r="1725" spans="1:21" ht="13.2">
      <c r="A1725" s="6">
        <v>43423.174328703702</v>
      </c>
      <c r="B1725" s="7" t="str">
        <f>HYPERLINK("https://twitter.com/TimRiggins____","@TimRiggins____")</f>
        <v>@TimRiggins____</v>
      </c>
      <c r="C1725" s="8" t="s">
        <v>6065</v>
      </c>
      <c r="D1725" s="9" t="s">
        <v>6066</v>
      </c>
      <c r="E1725" s="10" t="str">
        <f>HYPERLINK("https://twitter.com/TimRiggins____/status/1064491233907798017","1064491233907798017")</f>
        <v>1064491233907798017</v>
      </c>
      <c r="F1725" s="11" t="s">
        <v>6067</v>
      </c>
      <c r="G1725" s="11" t="s">
        <v>6068</v>
      </c>
      <c r="H1725" s="12"/>
      <c r="I1725" s="13">
        <v>0</v>
      </c>
      <c r="J1725" s="13">
        <v>0</v>
      </c>
      <c r="K1725" s="14" t="str">
        <f>HYPERLINK("http://twitter.com/download/android","Twitter for Android")</f>
        <v>Twitter for Android</v>
      </c>
      <c r="L1725" s="13">
        <v>589</v>
      </c>
      <c r="M1725" s="13">
        <v>1294</v>
      </c>
      <c r="N1725" s="13">
        <v>8</v>
      </c>
      <c r="O1725" s="15"/>
      <c r="P1725" s="6">
        <v>40108.460138888891</v>
      </c>
      <c r="Q1725" s="12"/>
      <c r="R1725" s="16" t="s">
        <v>6069</v>
      </c>
      <c r="S1725" s="12"/>
      <c r="T1725" s="12"/>
      <c r="U1725" s="10" t="str">
        <f>HYPERLINK("https://pbs.twimg.com/profile_images/996540261231742977/D8Hmu6R8.jpg","View")</f>
        <v>View</v>
      </c>
    </row>
    <row r="1726" spans="1:21" ht="40.799999999999997">
      <c r="A1726" s="6">
        <v>43423.173703703702</v>
      </c>
      <c r="B1726" s="7" t="str">
        <f>HYPERLINK("https://twitter.com/josegabriel467","@josegabriel467")</f>
        <v>@josegabriel467</v>
      </c>
      <c r="C1726" s="8" t="s">
        <v>1744</v>
      </c>
      <c r="D1726" s="9" t="s">
        <v>6070</v>
      </c>
      <c r="E1726" s="10" t="str">
        <f>HYPERLINK("https://twitter.com/josegabriel467/status/1064491007075672064","1064491007075672064")</f>
        <v>1064491007075672064</v>
      </c>
      <c r="F1726" s="11" t="s">
        <v>320</v>
      </c>
      <c r="G1726" s="12"/>
      <c r="H1726" s="12"/>
      <c r="I1726" s="13">
        <v>0</v>
      </c>
      <c r="J1726" s="13">
        <v>0</v>
      </c>
      <c r="K1726" s="14" t="str">
        <f>HYPERLINK("http://www.facebook.com/twitter","Facebook")</f>
        <v>Facebook</v>
      </c>
      <c r="L1726" s="13">
        <v>1624</v>
      </c>
      <c r="M1726" s="13">
        <v>1609</v>
      </c>
      <c r="N1726" s="13">
        <v>23</v>
      </c>
      <c r="O1726" s="15"/>
      <c r="P1726" s="6">
        <v>40844.160150462965</v>
      </c>
      <c r="Q1726" s="17" t="s">
        <v>29</v>
      </c>
      <c r="R1726" s="16" t="s">
        <v>1746</v>
      </c>
      <c r="S1726" s="11" t="s">
        <v>1747</v>
      </c>
      <c r="T1726" s="12"/>
      <c r="U1726" s="10" t="str">
        <f>HYPERLINK("https://pbs.twimg.com/profile_images/864586721966436354/WwV_o0gL.jpg","View")</f>
        <v>View</v>
      </c>
    </row>
    <row r="1727" spans="1:21" ht="20.399999999999999">
      <c r="A1727" s="6">
        <v>43423.171932870369</v>
      </c>
      <c r="B1727" s="7" t="str">
        <f>HYPERLINK("https://twitter.com/puringerMe","@puringerMe")</f>
        <v>@puringerMe</v>
      </c>
      <c r="C1727" s="8" t="s">
        <v>5683</v>
      </c>
      <c r="D1727" s="9" t="s">
        <v>6071</v>
      </c>
      <c r="E1727" s="10" t="str">
        <f>HYPERLINK("https://twitter.com/puringerMe/status/1064490366647320578","1064490366647320578")</f>
        <v>1064490366647320578</v>
      </c>
      <c r="F1727" s="12"/>
      <c r="G1727" s="12"/>
      <c r="H1727" s="12"/>
      <c r="I1727" s="13">
        <v>9</v>
      </c>
      <c r="J1727" s="13">
        <v>39</v>
      </c>
      <c r="K1727" s="14" t="str">
        <f>HYPERLINK("http://twitter.com","Twitter Web Client")</f>
        <v>Twitter Web Client</v>
      </c>
      <c r="L1727" s="13">
        <v>5849</v>
      </c>
      <c r="M1727" s="13">
        <v>651</v>
      </c>
      <c r="N1727" s="13">
        <v>114</v>
      </c>
      <c r="O1727" s="15"/>
      <c r="P1727" s="6">
        <v>41412.037974537037</v>
      </c>
      <c r="Q1727" s="17" t="s">
        <v>5686</v>
      </c>
      <c r="R1727" s="16" t="s">
        <v>5687</v>
      </c>
      <c r="S1727" s="12"/>
      <c r="T1727" s="12"/>
      <c r="U1727" s="10" t="str">
        <f>HYPERLINK("https://pbs.twimg.com/profile_images/1056590118096658432/bUNbxSxB.jpg","View")</f>
        <v>View</v>
      </c>
    </row>
    <row r="1728" spans="1:21" ht="30.6">
      <c r="A1728" s="6">
        <v>43423.170532407406</v>
      </c>
      <c r="B1728" s="7" t="str">
        <f>HYPERLINK("https://twitter.com/DDomene","@DDomene")</f>
        <v>@DDomene</v>
      </c>
      <c r="C1728" s="8" t="s">
        <v>6072</v>
      </c>
      <c r="D1728" s="9" t="s">
        <v>5154</v>
      </c>
      <c r="E1728" s="10" t="str">
        <f>HYPERLINK("https://twitter.com/DDomene/status/1064489858998169600","1064489858998169600")</f>
        <v>1064489858998169600</v>
      </c>
      <c r="F1728" s="11" t="s">
        <v>2767</v>
      </c>
      <c r="G1728" s="12"/>
      <c r="H1728" s="12"/>
      <c r="I1728" s="13">
        <v>1</v>
      </c>
      <c r="J1728" s="13">
        <v>1</v>
      </c>
      <c r="K1728" s="14" t="str">
        <f t="shared" ref="K1728:K1729" si="319">HYPERLINK("http://twitter.com/download/iphone","Twitter for iPhone")</f>
        <v>Twitter for iPhone</v>
      </c>
      <c r="L1728" s="13">
        <v>9365</v>
      </c>
      <c r="M1728" s="13">
        <v>9989</v>
      </c>
      <c r="N1728" s="13">
        <v>65</v>
      </c>
      <c r="O1728" s="15"/>
      <c r="P1728" s="6">
        <v>40775.675763888888</v>
      </c>
      <c r="Q1728" s="17" t="s">
        <v>6073</v>
      </c>
      <c r="R1728" s="16" t="s">
        <v>6074</v>
      </c>
      <c r="S1728" s="12"/>
      <c r="T1728" s="12"/>
      <c r="U1728" s="10" t="str">
        <f>HYPERLINK("https://pbs.twimg.com/profile_images/1065259657877483521/_Az762jL.jpg","View")</f>
        <v>View</v>
      </c>
    </row>
    <row r="1729" spans="1:21" ht="40.799999999999997">
      <c r="A1729" s="6">
        <v>43423.168460648143</v>
      </c>
      <c r="B1729" s="7" t="str">
        <f>HYPERLINK("https://twitter.com/anaalonsogonza1","@anaalonsogonza1")</f>
        <v>@anaalonsogonza1</v>
      </c>
      <c r="C1729" s="8" t="s">
        <v>2588</v>
      </c>
      <c r="D1729" s="9" t="s">
        <v>6075</v>
      </c>
      <c r="E1729" s="10" t="str">
        <f>HYPERLINK("https://twitter.com/anaalonsogonza1/status/1064489110067388416","1064489110067388416")</f>
        <v>1064489110067388416</v>
      </c>
      <c r="F1729" s="12"/>
      <c r="G1729" s="12"/>
      <c r="H1729" s="12"/>
      <c r="I1729" s="13">
        <v>0</v>
      </c>
      <c r="J1729" s="13">
        <v>1</v>
      </c>
      <c r="K1729" s="14" t="str">
        <f t="shared" si="319"/>
        <v>Twitter for iPhone</v>
      </c>
      <c r="L1729" s="13">
        <v>1270</v>
      </c>
      <c r="M1729" s="13">
        <v>993</v>
      </c>
      <c r="N1729" s="13">
        <v>5</v>
      </c>
      <c r="O1729" s="15"/>
      <c r="P1729" s="6">
        <v>41919.624224537038</v>
      </c>
      <c r="Q1729" s="17" t="s">
        <v>2590</v>
      </c>
      <c r="R1729" s="16" t="s">
        <v>2591</v>
      </c>
      <c r="S1729" s="12"/>
      <c r="T1729" s="12"/>
      <c r="U1729" s="10" t="str">
        <f>HYPERLINK("https://pbs.twimg.com/profile_images/990312828937605120/HdDMDHrN.jpg","View")</f>
        <v>View</v>
      </c>
    </row>
    <row r="1730" spans="1:21" ht="20.399999999999999">
      <c r="A1730" s="6">
        <v>43423.165046296301</v>
      </c>
      <c r="B1730" s="7" t="str">
        <f>HYPERLINK("https://twitter.com/jcarnomu78","@jcarnomu78")</f>
        <v>@jcarnomu78</v>
      </c>
      <c r="C1730" s="8" t="s">
        <v>6076</v>
      </c>
      <c r="D1730" s="9" t="s">
        <v>6077</v>
      </c>
      <c r="E1730" s="10" t="str">
        <f>HYPERLINK("https://twitter.com/jcarnomu78/status/1064487870575067136","1064487870575067136")</f>
        <v>1064487870575067136</v>
      </c>
      <c r="F1730" s="11" t="s">
        <v>6078</v>
      </c>
      <c r="G1730" s="12"/>
      <c r="H1730" s="12"/>
      <c r="I1730" s="13">
        <v>0</v>
      </c>
      <c r="J1730" s="13">
        <v>0</v>
      </c>
      <c r="K1730" s="14" t="str">
        <f t="shared" ref="K1730:K1731" si="320">HYPERLINK("http://twitter.com","Twitter Web Client")</f>
        <v>Twitter Web Client</v>
      </c>
      <c r="L1730" s="13">
        <v>337</v>
      </c>
      <c r="M1730" s="13">
        <v>629</v>
      </c>
      <c r="N1730" s="13">
        <v>4</v>
      </c>
      <c r="O1730" s="15"/>
      <c r="P1730" s="6">
        <v>41780.578321759262</v>
      </c>
      <c r="Q1730" s="17" t="s">
        <v>6079</v>
      </c>
      <c r="R1730" s="16" t="s">
        <v>6080</v>
      </c>
      <c r="S1730" s="12"/>
      <c r="T1730" s="12"/>
      <c r="U1730" s="10" t="str">
        <f>HYPERLINK("https://pbs.twimg.com/profile_images/902453840540291073/tw2Wduc4.jpg","View")</f>
        <v>View</v>
      </c>
    </row>
    <row r="1731" spans="1:21" ht="30.6">
      <c r="A1731" s="6">
        <v>43423.164976851855</v>
      </c>
      <c r="B1731" s="7" t="str">
        <f>HYPERLINK("https://twitter.com/johermol","@johermol")</f>
        <v>@johermol</v>
      </c>
      <c r="C1731" s="8" t="s">
        <v>6081</v>
      </c>
      <c r="D1731" s="9" t="s">
        <v>6082</v>
      </c>
      <c r="E1731" s="10" t="str">
        <f>HYPERLINK("https://twitter.com/johermol/status/1064487846088712192","1064487846088712192")</f>
        <v>1064487846088712192</v>
      </c>
      <c r="F1731" s="11" t="s">
        <v>6083</v>
      </c>
      <c r="G1731" s="12"/>
      <c r="H1731" s="12"/>
      <c r="I1731" s="13">
        <v>0</v>
      </c>
      <c r="J1731" s="13">
        <v>0</v>
      </c>
      <c r="K1731" s="14" t="str">
        <f t="shared" si="320"/>
        <v>Twitter Web Client</v>
      </c>
      <c r="L1731" s="13">
        <v>1840</v>
      </c>
      <c r="M1731" s="13">
        <v>2157</v>
      </c>
      <c r="N1731" s="13">
        <v>18</v>
      </c>
      <c r="O1731" s="15"/>
      <c r="P1731" s="6">
        <v>40796.415300925924</v>
      </c>
      <c r="Q1731" s="17" t="s">
        <v>6084</v>
      </c>
      <c r="R1731" s="16" t="s">
        <v>6085</v>
      </c>
      <c r="S1731" s="11" t="s">
        <v>6086</v>
      </c>
      <c r="T1731" s="12"/>
      <c r="U1731" s="10" t="str">
        <f>HYPERLINK("https://pbs.twimg.com/profile_images/1031495516985679873/qtAsmA9K.jpg","View")</f>
        <v>View</v>
      </c>
    </row>
    <row r="1732" spans="1:21" ht="30.6">
      <c r="A1732" s="6">
        <v>43423.164224537039</v>
      </c>
      <c r="B1732" s="7" t="str">
        <f>HYPERLINK("https://twitter.com/COMBISOL","@COMBISOL")</f>
        <v>@COMBISOL</v>
      </c>
      <c r="C1732" s="8" t="s">
        <v>5947</v>
      </c>
      <c r="D1732" s="9" t="s">
        <v>3037</v>
      </c>
      <c r="E1732" s="10" t="str">
        <f>HYPERLINK("https://twitter.com/COMBISOL/status/1064487573081464833","1064487573081464833")</f>
        <v>1064487573081464833</v>
      </c>
      <c r="F1732" s="11" t="s">
        <v>6088</v>
      </c>
      <c r="G1732" s="12"/>
      <c r="H1732" s="12"/>
      <c r="I1732" s="13">
        <v>0</v>
      </c>
      <c r="J1732" s="13">
        <v>0</v>
      </c>
      <c r="K1732" s="14" t="str">
        <f>HYPERLINK("http://www.facebook.com/twitter","Facebook")</f>
        <v>Facebook</v>
      </c>
      <c r="L1732" s="13">
        <v>103</v>
      </c>
      <c r="M1732" s="13">
        <v>238</v>
      </c>
      <c r="N1732" s="13">
        <v>0</v>
      </c>
      <c r="O1732" s="15"/>
      <c r="P1732" s="6">
        <v>40709.348344907405</v>
      </c>
      <c r="Q1732" s="17" t="s">
        <v>118</v>
      </c>
      <c r="R1732" s="16" t="s">
        <v>5948</v>
      </c>
      <c r="S1732" s="11" t="s">
        <v>5949</v>
      </c>
      <c r="T1732" s="12"/>
      <c r="U1732" s="10" t="str">
        <f>HYPERLINK("https://pbs.twimg.com/profile_images/1397278729/CABINA_ROJA_TWITTER_2_--.jpg","View")</f>
        <v>View</v>
      </c>
    </row>
    <row r="1733" spans="1:21" ht="40.799999999999997">
      <c r="A1733" s="6">
        <v>43423.162870370375</v>
      </c>
      <c r="B1733" s="7" t="str">
        <f>HYPERLINK("https://twitter.com/Lolalopez_bcn","@Lolalopez_bcn")</f>
        <v>@Lolalopez_bcn</v>
      </c>
      <c r="C1733" s="8" t="s">
        <v>6089</v>
      </c>
      <c r="D1733" s="9" t="s">
        <v>6090</v>
      </c>
      <c r="E1733" s="10" t="str">
        <f>HYPERLINK("https://twitter.com/Lolalopez_bcn/status/1064487082587054080","1064487082587054080")</f>
        <v>1064487082587054080</v>
      </c>
      <c r="F1733" s="11" t="s">
        <v>6091</v>
      </c>
      <c r="G1733" s="12"/>
      <c r="H1733" s="12"/>
      <c r="I1733" s="13">
        <v>0</v>
      </c>
      <c r="J1733" s="13">
        <v>0</v>
      </c>
      <c r="K1733" s="14" t="str">
        <f>HYPERLINK("http://twitter.com/download/iphone","Twitter for iPhone")</f>
        <v>Twitter for iPhone</v>
      </c>
      <c r="L1733" s="13">
        <v>1809</v>
      </c>
      <c r="M1733" s="13">
        <v>619</v>
      </c>
      <c r="N1733" s="13">
        <v>29</v>
      </c>
      <c r="O1733" s="15"/>
      <c r="P1733" s="6">
        <v>42464.216805555552</v>
      </c>
      <c r="Q1733" s="17" t="s">
        <v>4265</v>
      </c>
      <c r="R1733" s="16" t="s">
        <v>6092</v>
      </c>
      <c r="S1733" s="12"/>
      <c r="T1733" s="12"/>
      <c r="U1733" s="10" t="str">
        <f>HYPERLINK("https://pbs.twimg.com/profile_images/1003344885624254464/d-7XUvoH.jpg","View")</f>
        <v>View</v>
      </c>
    </row>
    <row r="1734" spans="1:21" ht="40.799999999999997">
      <c r="A1734" s="6">
        <v>43423.162627314814</v>
      </c>
      <c r="B1734" s="7" t="str">
        <f>HYPERLINK("https://twitter.com/DiazHortas","@DiazHortas")</f>
        <v>@DiazHortas</v>
      </c>
      <c r="C1734" s="8" t="s">
        <v>6093</v>
      </c>
      <c r="D1734" s="9" t="s">
        <v>6094</v>
      </c>
      <c r="E1734" s="10" t="str">
        <f>HYPERLINK("https://twitter.com/DiazHortas/status/1064486993676156928","1064486993676156928")</f>
        <v>1064486993676156928</v>
      </c>
      <c r="F1734" s="11" t="s">
        <v>320</v>
      </c>
      <c r="G1734" s="12"/>
      <c r="H1734" s="12"/>
      <c r="I1734" s="13">
        <v>0</v>
      </c>
      <c r="J1734" s="13">
        <v>0</v>
      </c>
      <c r="K1734" s="14" t="str">
        <f t="shared" ref="K1734:K1735" si="321">HYPERLINK("http://twitter.com","Twitter Web Client")</f>
        <v>Twitter Web Client</v>
      </c>
      <c r="L1734" s="13">
        <v>1321</v>
      </c>
      <c r="M1734" s="13">
        <v>1114</v>
      </c>
      <c r="N1734" s="13">
        <v>69</v>
      </c>
      <c r="O1734" s="15"/>
      <c r="P1734" s="6">
        <v>42047.04724537037</v>
      </c>
      <c r="Q1734" s="17" t="s">
        <v>6095</v>
      </c>
      <c r="R1734" s="16" t="s">
        <v>6096</v>
      </c>
      <c r="S1734" s="12"/>
      <c r="T1734" s="12"/>
      <c r="U1734" s="10" t="str">
        <f>HYPERLINK("https://pbs.twimg.com/profile_images/746652080694267904/1CToGNmh.jpg","View")</f>
        <v>View</v>
      </c>
    </row>
    <row r="1735" spans="1:21" ht="51">
      <c r="A1735" s="6">
        <v>43423.162604166668</v>
      </c>
      <c r="B1735" s="7" t="str">
        <f>HYPERLINK("https://twitter.com/juansantiso","@juansantiso")</f>
        <v>@juansantiso</v>
      </c>
      <c r="C1735" s="8" t="s">
        <v>385</v>
      </c>
      <c r="D1735" s="9" t="s">
        <v>386</v>
      </c>
      <c r="E1735" s="10" t="str">
        <f>HYPERLINK("https://twitter.com/juansantiso/status/1064486986638086144","1064486986638086144")</f>
        <v>1064486986638086144</v>
      </c>
      <c r="F1735" s="11" t="s">
        <v>389</v>
      </c>
      <c r="G1735" s="11" t="s">
        <v>390</v>
      </c>
      <c r="H1735" s="12"/>
      <c r="I1735" s="13">
        <v>15</v>
      </c>
      <c r="J1735" s="13">
        <v>7</v>
      </c>
      <c r="K1735" s="14" t="str">
        <f t="shared" si="321"/>
        <v>Twitter Web Client</v>
      </c>
      <c r="L1735" s="13">
        <v>1782</v>
      </c>
      <c r="M1735" s="13">
        <v>2932</v>
      </c>
      <c r="N1735" s="13">
        <v>61</v>
      </c>
      <c r="O1735" s="15"/>
      <c r="P1735" s="6">
        <v>40792.641388888893</v>
      </c>
      <c r="Q1735" s="17" t="s">
        <v>392</v>
      </c>
      <c r="R1735" s="16" t="s">
        <v>393</v>
      </c>
      <c r="S1735" s="11" t="s">
        <v>394</v>
      </c>
      <c r="T1735" s="12"/>
      <c r="U1735" s="10" t="str">
        <f>HYPERLINK("https://pbs.twimg.com/profile_images/983668180848701443/IF4Y7rRA.jpg","View")</f>
        <v>View</v>
      </c>
    </row>
    <row r="1736" spans="1:21" ht="40.799999999999997">
      <c r="A1736" s="6">
        <v>43423.162349537037</v>
      </c>
      <c r="B1736" s="7" t="str">
        <f>HYPERLINK("https://twitter.com/apolivares","@apolivares")</f>
        <v>@apolivares</v>
      </c>
      <c r="C1736" s="8" t="s">
        <v>6097</v>
      </c>
      <c r="D1736" s="9" t="s">
        <v>6098</v>
      </c>
      <c r="E1736" s="10" t="str">
        <f>HYPERLINK("https://twitter.com/apolivares/status/1064486892945768455","1064486892945768455")</f>
        <v>1064486892945768455</v>
      </c>
      <c r="F1736" s="11" t="s">
        <v>6099</v>
      </c>
      <c r="G1736" s="12"/>
      <c r="H1736" s="12"/>
      <c r="I1736" s="13">
        <v>2</v>
      </c>
      <c r="J1736" s="13">
        <v>5</v>
      </c>
      <c r="K1736" s="14" t="str">
        <f t="shared" ref="K1736:K1737" si="322">HYPERLINK("http://twitter.com/download/android","Twitter for Android")</f>
        <v>Twitter for Android</v>
      </c>
      <c r="L1736" s="13">
        <v>432</v>
      </c>
      <c r="M1736" s="13">
        <v>517</v>
      </c>
      <c r="N1736" s="13">
        <v>7</v>
      </c>
      <c r="O1736" s="15"/>
      <c r="P1736" s="6">
        <v>40845.142534722225</v>
      </c>
      <c r="Q1736" s="17" t="s">
        <v>6100</v>
      </c>
      <c r="R1736" s="16" t="s">
        <v>6101</v>
      </c>
      <c r="S1736" s="11" t="s">
        <v>6102</v>
      </c>
      <c r="T1736" s="12"/>
      <c r="U1736" s="10" t="str">
        <f>HYPERLINK("https://pbs.twimg.com/profile_images/1043127328174485504/778k4CAi.jpg","View")</f>
        <v>View</v>
      </c>
    </row>
    <row r="1737" spans="1:21" ht="51">
      <c r="A1737" s="6">
        <v>43423.16201388889</v>
      </c>
      <c r="B1737" s="7" t="str">
        <f>HYPERLINK("https://twitter.com/JosepMarce","@JosepMarce")</f>
        <v>@JosepMarce</v>
      </c>
      <c r="C1737" s="8" t="s">
        <v>6103</v>
      </c>
      <c r="D1737" s="9" t="s">
        <v>6104</v>
      </c>
      <c r="E1737" s="10" t="str">
        <f>HYPERLINK("https://twitter.com/JosepMarce/status/1064486771948425217","1064486771948425217")</f>
        <v>1064486771948425217</v>
      </c>
      <c r="F1737" s="12"/>
      <c r="G1737" s="12"/>
      <c r="H1737" s="12"/>
      <c r="I1737" s="13">
        <v>4</v>
      </c>
      <c r="J1737" s="13">
        <v>3</v>
      </c>
      <c r="K1737" s="14" t="str">
        <f t="shared" si="322"/>
        <v>Twitter for Android</v>
      </c>
      <c r="L1737" s="13">
        <v>3962</v>
      </c>
      <c r="M1737" s="13">
        <v>2863</v>
      </c>
      <c r="N1737" s="13">
        <v>10</v>
      </c>
      <c r="O1737" s="15"/>
      <c r="P1737" s="6">
        <v>41203.51357638889</v>
      </c>
      <c r="Q1737" s="12"/>
      <c r="R1737" s="16" t="s">
        <v>6105</v>
      </c>
      <c r="S1737" s="12"/>
      <c r="T1737" s="12"/>
      <c r="U1737" s="10" t="str">
        <f>HYPERLINK("https://pbs.twimg.com/profile_images/437101139247386624/Tqww-zAl.jpeg","View")</f>
        <v>View</v>
      </c>
    </row>
    <row r="1738" spans="1:21" ht="40.799999999999997">
      <c r="A1738" s="6">
        <v>43423.158692129626</v>
      </c>
      <c r="B1738" s="7" t="str">
        <f>HYPERLINK("https://twitter.com/Esparroqui","@Esparroqui")</f>
        <v>@Esparroqui</v>
      </c>
      <c r="C1738" s="8" t="s">
        <v>4348</v>
      </c>
      <c r="D1738" s="9" t="s">
        <v>6106</v>
      </c>
      <c r="E1738" s="10" t="str">
        <f>HYPERLINK("https://twitter.com/Esparroqui/status/1064485567826665472","1064485567826665472")</f>
        <v>1064485567826665472</v>
      </c>
      <c r="F1738" s="12"/>
      <c r="G1738" s="12"/>
      <c r="H1738" s="12"/>
      <c r="I1738" s="13">
        <v>9</v>
      </c>
      <c r="J1738" s="13">
        <v>10</v>
      </c>
      <c r="K1738" s="14" t="str">
        <f t="shared" ref="K1738:K1741" si="323">HYPERLINK("http://twitter.com","Twitter Web Client")</f>
        <v>Twitter Web Client</v>
      </c>
      <c r="L1738" s="13">
        <v>46540</v>
      </c>
      <c r="M1738" s="13">
        <v>19062</v>
      </c>
      <c r="N1738" s="13">
        <v>316</v>
      </c>
      <c r="O1738" s="15"/>
      <c r="P1738" s="6">
        <v>40877.325613425928</v>
      </c>
      <c r="Q1738" s="17" t="s">
        <v>4351</v>
      </c>
      <c r="R1738" s="16" t="s">
        <v>4352</v>
      </c>
      <c r="S1738" s="11" t="s">
        <v>4353</v>
      </c>
      <c r="T1738" s="12"/>
      <c r="U1738" s="10" t="str">
        <f>HYPERLINK("https://pbs.twimg.com/profile_images/1017537354955882497/9PtegggA.jpg","View")</f>
        <v>View</v>
      </c>
    </row>
    <row r="1739" spans="1:21" ht="81.599999999999994">
      <c r="A1739" s="6">
        <v>43423.15797453704</v>
      </c>
      <c r="B1739" s="7" t="str">
        <f>HYPERLINK("https://twitter.com/HistoandHistory","@HistoandHistory")</f>
        <v>@HistoandHistory</v>
      </c>
      <c r="C1739" s="8" t="s">
        <v>6107</v>
      </c>
      <c r="D1739" s="9" t="s">
        <v>6108</v>
      </c>
      <c r="E1739" s="10" t="str">
        <f>HYPERLINK("https://twitter.com/HistoandHistory/status/1064485308606152704","1064485308606152704")</f>
        <v>1064485308606152704</v>
      </c>
      <c r="F1739" s="17" t="s">
        <v>6109</v>
      </c>
      <c r="G1739" s="12"/>
      <c r="H1739" s="12"/>
      <c r="I1739" s="13">
        <v>0</v>
      </c>
      <c r="J1739" s="13">
        <v>0</v>
      </c>
      <c r="K1739" s="14" t="str">
        <f t="shared" si="323"/>
        <v>Twitter Web Client</v>
      </c>
      <c r="L1739" s="13">
        <v>1275</v>
      </c>
      <c r="M1739" s="13">
        <v>1335</v>
      </c>
      <c r="N1739" s="13">
        <v>24</v>
      </c>
      <c r="O1739" s="15"/>
      <c r="P1739" s="6">
        <v>42413.430949074071</v>
      </c>
      <c r="Q1739" s="12"/>
      <c r="R1739" s="16" t="s">
        <v>6110</v>
      </c>
      <c r="S1739" s="12"/>
      <c r="T1739" s="12"/>
      <c r="U1739" s="10" t="str">
        <f>HYPERLINK("https://pbs.twimg.com/profile_images/698577308714721280/VQaxbvcj.jpg","View")</f>
        <v>View</v>
      </c>
    </row>
    <row r="1740" spans="1:21" ht="20.399999999999999">
      <c r="A1740" s="6">
        <v>43423.157731481479</v>
      </c>
      <c r="B1740" s="7" t="str">
        <f>HYPERLINK("https://twitter.com/blanconatalio","@blanconatalio")</f>
        <v>@blanconatalio</v>
      </c>
      <c r="C1740" s="8" t="s">
        <v>6111</v>
      </c>
      <c r="D1740" s="9" t="s">
        <v>3900</v>
      </c>
      <c r="E1740" s="10" t="str">
        <f>HYPERLINK("https://twitter.com/blanconatalio/status/1064485220282507266","1064485220282507266")</f>
        <v>1064485220282507266</v>
      </c>
      <c r="F1740" s="11" t="s">
        <v>320</v>
      </c>
      <c r="G1740" s="12"/>
      <c r="H1740" s="12"/>
      <c r="I1740" s="13">
        <v>0</v>
      </c>
      <c r="J1740" s="13">
        <v>0</v>
      </c>
      <c r="K1740" s="14" t="str">
        <f t="shared" si="323"/>
        <v>Twitter Web Client</v>
      </c>
      <c r="L1740" s="13">
        <v>946</v>
      </c>
      <c r="M1740" s="13">
        <v>961</v>
      </c>
      <c r="N1740" s="13">
        <v>20</v>
      </c>
      <c r="O1740" s="15"/>
      <c r="P1740" s="6">
        <v>42094.997071759259</v>
      </c>
      <c r="Q1740" s="12"/>
      <c r="R1740" s="16" t="s">
        <v>6112</v>
      </c>
      <c r="S1740" s="11" t="s">
        <v>6113</v>
      </c>
      <c r="T1740" s="12"/>
      <c r="U1740" s="10" t="str">
        <f>HYPERLINK("https://pbs.twimg.com/profile_images/671237520236126208/kCbGpb9C.jpg","View")</f>
        <v>View</v>
      </c>
    </row>
    <row r="1741" spans="1:21" ht="51">
      <c r="A1741" s="6">
        <v>43423.156192129631</v>
      </c>
      <c r="B1741" s="7" t="str">
        <f>HYPERLINK("https://twitter.com/mariano9605","@mariano9605")</f>
        <v>@mariano9605</v>
      </c>
      <c r="C1741" s="8" t="s">
        <v>1680</v>
      </c>
      <c r="D1741" s="9" t="s">
        <v>6114</v>
      </c>
      <c r="E1741" s="10" t="str">
        <f>HYPERLINK("https://twitter.com/mariano9605/status/1064484662700109825","1064484662700109825")</f>
        <v>1064484662700109825</v>
      </c>
      <c r="F1741" s="11" t="s">
        <v>320</v>
      </c>
      <c r="G1741" s="12"/>
      <c r="H1741" s="12"/>
      <c r="I1741" s="13">
        <v>67</v>
      </c>
      <c r="J1741" s="13">
        <v>37</v>
      </c>
      <c r="K1741" s="14" t="str">
        <f t="shared" si="323"/>
        <v>Twitter Web Client</v>
      </c>
      <c r="L1741" s="13">
        <v>56151</v>
      </c>
      <c r="M1741" s="13">
        <v>53995</v>
      </c>
      <c r="N1741" s="13">
        <v>303</v>
      </c>
      <c r="O1741" s="15"/>
      <c r="P1741" s="6">
        <v>40869.540659722225</v>
      </c>
      <c r="Q1741" s="17" t="s">
        <v>1682</v>
      </c>
      <c r="R1741" s="16" t="s">
        <v>1683</v>
      </c>
      <c r="S1741" s="12"/>
      <c r="T1741" s="12"/>
      <c r="U1741" s="10" t="str">
        <f>HYPERLINK("https://pbs.twimg.com/profile_images/427860629525757952/ohW7e5Pf.jpeg","View")</f>
        <v>View</v>
      </c>
    </row>
    <row r="1742" spans="1:21" ht="20.399999999999999">
      <c r="A1742" s="6">
        <v>43423.153148148151</v>
      </c>
      <c r="B1742" s="7" t="str">
        <f>HYPERLINK("https://twitter.com/RosaRosavieji1","@RosaRosavieji1")</f>
        <v>@RosaRosavieji1</v>
      </c>
      <c r="C1742" s="8" t="s">
        <v>512</v>
      </c>
      <c r="D1742" s="9" t="s">
        <v>4418</v>
      </c>
      <c r="E1742" s="10" t="str">
        <f>HYPERLINK("https://twitter.com/RosaRosavieji1/status/1064483560076320773","1064483560076320773")</f>
        <v>1064483560076320773</v>
      </c>
      <c r="F1742" s="11" t="s">
        <v>3031</v>
      </c>
      <c r="G1742" s="12"/>
      <c r="H1742" s="12"/>
      <c r="I1742" s="13">
        <v>0</v>
      </c>
      <c r="J1742" s="13">
        <v>0</v>
      </c>
      <c r="K1742" s="14" t="str">
        <f>HYPERLINK("http://twitter.com/download/android","Twitter for Android")</f>
        <v>Twitter for Android</v>
      </c>
      <c r="L1742" s="13">
        <v>2702</v>
      </c>
      <c r="M1742" s="13">
        <v>2858</v>
      </c>
      <c r="N1742" s="13">
        <v>138</v>
      </c>
      <c r="O1742" s="15"/>
      <c r="P1742" s="6">
        <v>42043.611851851849</v>
      </c>
      <c r="Q1742" s="12"/>
      <c r="R1742" s="16" t="s">
        <v>513</v>
      </c>
      <c r="S1742" s="12"/>
      <c r="T1742" s="12"/>
      <c r="U1742" s="10" t="str">
        <f>HYPERLINK("https://pbs.twimg.com/profile_images/565548930206027776/3EudG_tT.jpeg","View")</f>
        <v>View</v>
      </c>
    </row>
    <row r="1743" spans="1:21" ht="30.6">
      <c r="A1743" s="6">
        <v>43423.15121527778</v>
      </c>
      <c r="B1743" s="7" t="str">
        <f>HYPERLINK("https://twitter.com/videcelta","@videcelta")</f>
        <v>@videcelta</v>
      </c>
      <c r="C1743" s="8" t="s">
        <v>565</v>
      </c>
      <c r="D1743" s="9" t="s">
        <v>4817</v>
      </c>
      <c r="E1743" s="10" t="str">
        <f>HYPERLINK("https://twitter.com/videcelta/status/1064482859430395905","1064482859430395905")</f>
        <v>1064482859430395905</v>
      </c>
      <c r="F1743" s="11" t="s">
        <v>5523</v>
      </c>
      <c r="G1743" s="12"/>
      <c r="H1743" s="12"/>
      <c r="I1743" s="13">
        <v>0</v>
      </c>
      <c r="J1743" s="13">
        <v>0</v>
      </c>
      <c r="K1743" s="14" t="str">
        <f>HYPERLINK("http://www.facebook.com/twitter","Facebook")</f>
        <v>Facebook</v>
      </c>
      <c r="L1743" s="13">
        <v>540</v>
      </c>
      <c r="M1743" s="13">
        <v>1980</v>
      </c>
      <c r="N1743" s="13">
        <v>8</v>
      </c>
      <c r="O1743" s="15"/>
      <c r="P1743" s="6">
        <v>40190.505729166667</v>
      </c>
      <c r="Q1743" s="17" t="s">
        <v>567</v>
      </c>
      <c r="R1743" s="16" t="s">
        <v>568</v>
      </c>
      <c r="S1743" s="11" t="s">
        <v>569</v>
      </c>
      <c r="T1743" s="12"/>
      <c r="U1743" s="10" t="str">
        <f>HYPERLINK("https://pbs.twimg.com/profile_images/473781587033985024/i7lxqPHT.jpeg","View")</f>
        <v>View</v>
      </c>
    </row>
    <row r="1744" spans="1:21" ht="51">
      <c r="A1744" s="6">
        <v>43423.148969907408</v>
      </c>
      <c r="B1744" s="7" t="str">
        <f>HYPERLINK("https://twitter.com/provocadiarreas","@provocadiarreas")</f>
        <v>@provocadiarreas</v>
      </c>
      <c r="C1744" s="8" t="s">
        <v>6115</v>
      </c>
      <c r="D1744" s="9" t="s">
        <v>6116</v>
      </c>
      <c r="E1744" s="10" t="str">
        <f>HYPERLINK("https://twitter.com/provocadiarreas/status/1064482047438266370","1064482047438266370")</f>
        <v>1064482047438266370</v>
      </c>
      <c r="F1744" s="12"/>
      <c r="G1744" s="12"/>
      <c r="H1744" s="12"/>
      <c r="I1744" s="13">
        <v>0</v>
      </c>
      <c r="J1744" s="13">
        <v>4</v>
      </c>
      <c r="K1744" s="14" t="str">
        <f>HYPERLINK("http://twitter.com/download/iphone","Twitter for iPhone")</f>
        <v>Twitter for iPhone</v>
      </c>
      <c r="L1744" s="13">
        <v>100</v>
      </c>
      <c r="M1744" s="13">
        <v>260</v>
      </c>
      <c r="N1744" s="13">
        <v>1</v>
      </c>
      <c r="O1744" s="15"/>
      <c r="P1744" s="6">
        <v>43166.363206018519</v>
      </c>
      <c r="Q1744" s="12"/>
      <c r="R1744" s="16" t="s">
        <v>6117</v>
      </c>
      <c r="S1744" s="12"/>
      <c r="T1744" s="12"/>
      <c r="U1744" s="10" t="str">
        <f>HYPERLINK("https://pbs.twimg.com/profile_images/971442079946674178/FO5q62DN.jpg","View")</f>
        <v>View</v>
      </c>
    </row>
    <row r="1745" spans="1:21" ht="20.399999999999999">
      <c r="A1745" s="6">
        <v>43423.146608796298</v>
      </c>
      <c r="B1745" s="7" t="str">
        <f>HYPERLINK("https://twitter.com/BelenDChocolate","@BelenDChocolate")</f>
        <v>@BelenDChocolate</v>
      </c>
      <c r="C1745" s="8" t="s">
        <v>6118</v>
      </c>
      <c r="D1745" s="9" t="s">
        <v>6119</v>
      </c>
      <c r="E1745" s="10" t="str">
        <f>HYPERLINK("https://twitter.com/BelenDChocolate/status/1064481188818108416","1064481188818108416")</f>
        <v>1064481188818108416</v>
      </c>
      <c r="F1745" s="17" t="s">
        <v>6120</v>
      </c>
      <c r="G1745" s="11" t="s">
        <v>6121</v>
      </c>
      <c r="H1745" s="12"/>
      <c r="I1745" s="13">
        <v>2</v>
      </c>
      <c r="J1745" s="13">
        <v>4</v>
      </c>
      <c r="K1745" s="14" t="str">
        <f>HYPERLINK("http://twitter.com","Twitter Web Client")</f>
        <v>Twitter Web Client</v>
      </c>
      <c r="L1745" s="13">
        <v>548</v>
      </c>
      <c r="M1745" s="13">
        <v>975</v>
      </c>
      <c r="N1745" s="13">
        <v>1</v>
      </c>
      <c r="O1745" s="15"/>
      <c r="P1745" s="6">
        <v>41523.158796296295</v>
      </c>
      <c r="Q1745" s="17" t="s">
        <v>6122</v>
      </c>
      <c r="R1745" s="16" t="s">
        <v>6123</v>
      </c>
      <c r="S1745" s="11" t="s">
        <v>6124</v>
      </c>
      <c r="T1745" s="12"/>
      <c r="U1745" s="10" t="str">
        <f>HYPERLINK("https://pbs.twimg.com/profile_images/872495457322377217/ImPP8P5x.jpg","View")</f>
        <v>View</v>
      </c>
    </row>
    <row r="1746" spans="1:21" ht="20.399999999999999">
      <c r="A1746" s="6">
        <v>43423.145833333328</v>
      </c>
      <c r="B1746" s="7" t="str">
        <f>HYPERLINK("https://twitter.com/portaldecadiz","@portaldecadiz")</f>
        <v>@portaldecadiz</v>
      </c>
      <c r="C1746" s="8" t="s">
        <v>6125</v>
      </c>
      <c r="D1746" s="9" t="s">
        <v>6126</v>
      </c>
      <c r="E1746" s="10" t="str">
        <f>HYPERLINK("https://twitter.com/portaldecadiz/status/1064480908466667520","1064480908466667520")</f>
        <v>1064480908466667520</v>
      </c>
      <c r="F1746" s="11" t="s">
        <v>6127</v>
      </c>
      <c r="G1746" s="12"/>
      <c r="H1746" s="12"/>
      <c r="I1746" s="13">
        <v>0</v>
      </c>
      <c r="J1746" s="13">
        <v>0</v>
      </c>
      <c r="K1746" s="14" t="str">
        <f t="shared" ref="K1746:K1747" si="324">HYPERLINK("https://about.twitter.com/products/tweetdeck","TweetDeck")</f>
        <v>TweetDeck</v>
      </c>
      <c r="L1746" s="13">
        <v>15172</v>
      </c>
      <c r="M1746" s="13">
        <v>864</v>
      </c>
      <c r="N1746" s="13">
        <v>187</v>
      </c>
      <c r="O1746" s="15"/>
      <c r="P1746" s="6">
        <v>40151.375740740739</v>
      </c>
      <c r="Q1746" s="17" t="s">
        <v>6128</v>
      </c>
      <c r="R1746" s="16" t="s">
        <v>6129</v>
      </c>
      <c r="S1746" s="11" t="s">
        <v>6130</v>
      </c>
      <c r="T1746" s="12"/>
      <c r="U1746" s="10" t="str">
        <f>HYPERLINK("https://pbs.twimg.com/profile_images/971883217937723392/A4FMn6XX.jpg","View")</f>
        <v>View</v>
      </c>
    </row>
    <row r="1747" spans="1:21" ht="40.799999999999997">
      <c r="A1747" s="6">
        <v>43423.145069444443</v>
      </c>
      <c r="B1747" s="7" t="str">
        <f>HYPERLINK("https://twitter.com/biosca_azcoiti","@biosca_azcoiti")</f>
        <v>@biosca_azcoiti</v>
      </c>
      <c r="C1747" s="8" t="s">
        <v>6131</v>
      </c>
      <c r="D1747" s="9" t="s">
        <v>5452</v>
      </c>
      <c r="E1747" s="10" t="str">
        <f>HYPERLINK("https://twitter.com/biosca_azcoiti/status/1064480631009288193","1064480631009288193")</f>
        <v>1064480631009288193</v>
      </c>
      <c r="F1747" s="11" t="s">
        <v>5453</v>
      </c>
      <c r="G1747" s="11" t="s">
        <v>6132</v>
      </c>
      <c r="H1747" s="12"/>
      <c r="I1747" s="13">
        <v>0</v>
      </c>
      <c r="J1747" s="13">
        <v>0</v>
      </c>
      <c r="K1747" s="14" t="str">
        <f t="shared" si="324"/>
        <v>TweetDeck</v>
      </c>
      <c r="L1747" s="13">
        <v>1067</v>
      </c>
      <c r="M1747" s="13">
        <v>2216</v>
      </c>
      <c r="N1747" s="13">
        <v>42</v>
      </c>
      <c r="O1747" s="15"/>
      <c r="P1747" s="6">
        <v>40639.565821759257</v>
      </c>
      <c r="Q1747" s="17" t="s">
        <v>76</v>
      </c>
      <c r="R1747" s="16" t="s">
        <v>6133</v>
      </c>
      <c r="S1747" s="12"/>
      <c r="T1747" s="12"/>
      <c r="U1747" s="10" t="str">
        <f>HYPERLINK("https://pbs.twimg.com/profile_images/873549675789520896/-L05CO7S.jpg","View")</f>
        <v>View</v>
      </c>
    </row>
    <row r="1748" spans="1:21" ht="40.799999999999997">
      <c r="A1748" s="6">
        <v>43423.144861111112</v>
      </c>
      <c r="B1748" s="7" t="str">
        <f>HYPERLINK("https://twitter.com/mcarmensoriano","@mcarmensoriano")</f>
        <v>@mcarmensoriano</v>
      </c>
      <c r="C1748" s="8" t="s">
        <v>6134</v>
      </c>
      <c r="D1748" s="9" t="s">
        <v>6135</v>
      </c>
      <c r="E1748" s="10" t="str">
        <f>HYPERLINK("https://twitter.com/mcarmensoriano/status/1064480555474083840","1064480555474083840")</f>
        <v>1064480555474083840</v>
      </c>
      <c r="F1748" s="11" t="s">
        <v>320</v>
      </c>
      <c r="G1748" s="12"/>
      <c r="H1748" s="12"/>
      <c r="I1748" s="13">
        <v>6</v>
      </c>
      <c r="J1748" s="13">
        <v>2</v>
      </c>
      <c r="K1748" s="14" t="str">
        <f>HYPERLINK("http://twitter.com/download/iphone","Twitter for iPhone")</f>
        <v>Twitter for iPhone</v>
      </c>
      <c r="L1748" s="13">
        <v>1439</v>
      </c>
      <c r="M1748" s="13">
        <v>1371</v>
      </c>
      <c r="N1748" s="13">
        <v>15</v>
      </c>
      <c r="O1748" s="15"/>
      <c r="P1748" s="6">
        <v>40890.330254629633</v>
      </c>
      <c r="Q1748" s="17" t="s">
        <v>6136</v>
      </c>
      <c r="R1748" s="18"/>
      <c r="S1748" s="12"/>
      <c r="T1748" s="12"/>
      <c r="U1748" s="10" t="str">
        <f>HYPERLINK("https://pbs.twimg.com/profile_images/957470354515070976/3d4CxR2N.jpg","View")</f>
        <v>View</v>
      </c>
    </row>
    <row r="1749" spans="1:21" ht="40.799999999999997">
      <c r="A1749" s="6">
        <v>43423.143761574072</v>
      </c>
      <c r="B1749" s="7" t="str">
        <f>HYPERLINK("https://twitter.com/ibo_angel","@ibo_angel")</f>
        <v>@ibo_angel</v>
      </c>
      <c r="C1749" s="8" t="s">
        <v>6137</v>
      </c>
      <c r="D1749" s="9" t="s">
        <v>6138</v>
      </c>
      <c r="E1749" s="10" t="str">
        <f>HYPERLINK("https://twitter.com/ibo_angel/status/1064480157140963328","1064480157140963328")</f>
        <v>1064480157140963328</v>
      </c>
      <c r="F1749" s="11" t="s">
        <v>6139</v>
      </c>
      <c r="G1749" s="12"/>
      <c r="H1749" s="12"/>
      <c r="I1749" s="13">
        <v>7</v>
      </c>
      <c r="J1749" s="13">
        <v>10</v>
      </c>
      <c r="K1749" s="14" t="str">
        <f>HYPERLINK("http://twitter.com/download/android","Twitter for Android")</f>
        <v>Twitter for Android</v>
      </c>
      <c r="L1749" s="13">
        <v>718</v>
      </c>
      <c r="M1749" s="13">
        <v>579</v>
      </c>
      <c r="N1749" s="13">
        <v>3</v>
      </c>
      <c r="O1749" s="15"/>
      <c r="P1749" s="6">
        <v>42186.585439814815</v>
      </c>
      <c r="Q1749" s="17" t="s">
        <v>6140</v>
      </c>
      <c r="R1749" s="16" t="s">
        <v>6141</v>
      </c>
      <c r="S1749" s="11" t="s">
        <v>6142</v>
      </c>
      <c r="T1749" s="12"/>
      <c r="U1749" s="10" t="str">
        <f>HYPERLINK("https://pbs.twimg.com/profile_images/1064628946615103494/CTR3UQ4J.jpg","View")</f>
        <v>View</v>
      </c>
    </row>
    <row r="1750" spans="1:21" ht="20.399999999999999">
      <c r="A1750" s="6">
        <v>43423.140787037039</v>
      </c>
      <c r="B1750" s="7" t="str">
        <f>HYPERLINK("https://twitter.com/periodistadigit","@periodistadigit")</f>
        <v>@periodistadigit</v>
      </c>
      <c r="C1750" s="8" t="s">
        <v>4436</v>
      </c>
      <c r="D1750" s="9" t="s">
        <v>6143</v>
      </c>
      <c r="E1750" s="10" t="str">
        <f>HYPERLINK("https://twitter.com/periodistadigit/status/1064479079997542400","1064479079997542400")</f>
        <v>1064479079997542400</v>
      </c>
      <c r="F1750" s="11" t="s">
        <v>6144</v>
      </c>
      <c r="G1750" s="12"/>
      <c r="H1750" s="12"/>
      <c r="I1750" s="13">
        <v>6</v>
      </c>
      <c r="J1750" s="13">
        <v>5</v>
      </c>
      <c r="K1750" s="14" t="str">
        <f>HYPERLINK("https://about.twitter.com/products/tweetdeck","TweetDeck")</f>
        <v>TweetDeck</v>
      </c>
      <c r="L1750" s="13">
        <v>56097</v>
      </c>
      <c r="M1750" s="13">
        <v>3791</v>
      </c>
      <c r="N1750" s="13">
        <v>1469</v>
      </c>
      <c r="O1750" s="19" t="s">
        <v>74</v>
      </c>
      <c r="P1750" s="6">
        <v>40084.541296296295</v>
      </c>
      <c r="Q1750" s="17" t="s">
        <v>76</v>
      </c>
      <c r="R1750" s="16" t="s">
        <v>4439</v>
      </c>
      <c r="S1750" s="11" t="s">
        <v>4440</v>
      </c>
      <c r="T1750" s="12"/>
      <c r="U1750" s="10" t="str">
        <f>HYPERLINK("https://pbs.twimg.com/profile_images/1913331873/periodista-digital.jpg","View")</f>
        <v>View</v>
      </c>
    </row>
    <row r="1751" spans="1:21" ht="30.6">
      <c r="A1751" s="6">
        <v>43423.140717592592</v>
      </c>
      <c r="B1751" s="7" t="str">
        <f>HYPERLINK("https://twitter.com/mediotic","@mediotic")</f>
        <v>@mediotic</v>
      </c>
      <c r="C1751" s="8" t="s">
        <v>6145</v>
      </c>
      <c r="D1751" s="9" t="s">
        <v>6146</v>
      </c>
      <c r="E1751" s="10" t="str">
        <f>HYPERLINK("https://twitter.com/mediotic/status/1064479053762232320","1064479053762232320")</f>
        <v>1064479053762232320</v>
      </c>
      <c r="F1751" s="11" t="s">
        <v>5818</v>
      </c>
      <c r="G1751" s="12"/>
      <c r="H1751" s="12"/>
      <c r="I1751" s="13">
        <v>0</v>
      </c>
      <c r="J1751" s="13">
        <v>2</v>
      </c>
      <c r="K1751" s="14" t="str">
        <f>HYPERLINK("http://twitter.com","Twitter Web Client")</f>
        <v>Twitter Web Client</v>
      </c>
      <c r="L1751" s="13">
        <v>9098</v>
      </c>
      <c r="M1751" s="13">
        <v>3078</v>
      </c>
      <c r="N1751" s="13">
        <v>796</v>
      </c>
      <c r="O1751" s="15"/>
      <c r="P1751" s="6">
        <v>39431.391238425924</v>
      </c>
      <c r="Q1751" s="12"/>
      <c r="R1751" s="16" t="s">
        <v>6147</v>
      </c>
      <c r="S1751" s="12"/>
      <c r="T1751" s="12"/>
      <c r="U1751" s="10" t="str">
        <f>HYPERLINK("https://pbs.twimg.com/profile_images/1057281530211586048/K9HsjFNE.jpg","View")</f>
        <v>View</v>
      </c>
    </row>
    <row r="1752" spans="1:21" ht="40.799999999999997">
      <c r="A1752" s="6">
        <v>43423.13553240741</v>
      </c>
      <c r="B1752" s="7" t="str">
        <f>HYPERLINK("https://twitter.com/DRYmadrid","@DRYmadrid")</f>
        <v>@DRYmadrid</v>
      </c>
      <c r="C1752" s="8" t="s">
        <v>6148</v>
      </c>
      <c r="D1752" s="9" t="s">
        <v>6149</v>
      </c>
      <c r="E1752" s="10" t="str">
        <f>HYPERLINK("https://twitter.com/DRYmadrid/status/1064477177083777025","1064477177083777025")</f>
        <v>1064477177083777025</v>
      </c>
      <c r="F1752" s="11" t="s">
        <v>6150</v>
      </c>
      <c r="G1752" s="12"/>
      <c r="H1752" s="12"/>
      <c r="I1752" s="13">
        <v>0</v>
      </c>
      <c r="J1752" s="13">
        <v>1</v>
      </c>
      <c r="K1752" s="14" t="str">
        <f>HYPERLINK("http://www.facebook.com/twitter","Facebook")</f>
        <v>Facebook</v>
      </c>
      <c r="L1752" s="13">
        <v>30031</v>
      </c>
      <c r="M1752" s="13">
        <v>1559</v>
      </c>
      <c r="N1752" s="13">
        <v>667</v>
      </c>
      <c r="O1752" s="15"/>
      <c r="P1752" s="6">
        <v>40679.6328125</v>
      </c>
      <c r="Q1752" s="17" t="s">
        <v>76</v>
      </c>
      <c r="R1752" s="16" t="s">
        <v>6151</v>
      </c>
      <c r="S1752" s="11" t="s">
        <v>6152</v>
      </c>
      <c r="T1752" s="12"/>
      <c r="U1752" s="10" t="str">
        <f>HYPERLINK("https://pbs.twimg.com/profile_images/2779083725/26a5da2da144938bba56e71e88561381.jpeg","View")</f>
        <v>View</v>
      </c>
    </row>
    <row r="1753" spans="1:21" ht="122.4">
      <c r="A1753" s="6">
        <v>43423.135405092587</v>
      </c>
      <c r="B1753" s="7" t="str">
        <f>HYPERLINK("https://twitter.com/abuelocorajexad","@abuelocorajexad")</f>
        <v>@abuelocorajexad</v>
      </c>
      <c r="C1753" s="8" t="s">
        <v>4834</v>
      </c>
      <c r="D1753" s="9" t="s">
        <v>6153</v>
      </c>
      <c r="E1753" s="10" t="str">
        <f>HYPERLINK("https://twitter.com/abuelocorajexad/status/1064477129465831424","1064477129465831424")</f>
        <v>1064477129465831424</v>
      </c>
      <c r="F1753" s="17" t="s">
        <v>6154</v>
      </c>
      <c r="G1753" s="12"/>
      <c r="H1753" s="12"/>
      <c r="I1753" s="13">
        <v>0</v>
      </c>
      <c r="J1753" s="13">
        <v>0</v>
      </c>
      <c r="K1753" s="14" t="str">
        <f t="shared" ref="K1753:K1756" si="325">HYPERLINK("http://twitter.com","Twitter Web Client")</f>
        <v>Twitter Web Client</v>
      </c>
      <c r="L1753" s="13">
        <v>1030</v>
      </c>
      <c r="M1753" s="13">
        <v>877</v>
      </c>
      <c r="N1753" s="13">
        <v>1</v>
      </c>
      <c r="O1753" s="15"/>
      <c r="P1753" s="6">
        <v>42829.099699074075</v>
      </c>
      <c r="Q1753" s="12"/>
      <c r="R1753" s="18"/>
      <c r="S1753" s="12"/>
      <c r="T1753" s="12"/>
      <c r="U1753" s="10" t="str">
        <f>HYPERLINK("https://pbs.twimg.com/profile_images/849193986698903552/tuuCfEhR.jpg","View")</f>
        <v>View</v>
      </c>
    </row>
    <row r="1754" spans="1:21" ht="51">
      <c r="A1754" s="6">
        <v>43423.134097222224</v>
      </c>
      <c r="B1754" s="7" t="str">
        <f>HYPERLINK("https://twitter.com/bassileo","@bassileo")</f>
        <v>@bassileo</v>
      </c>
      <c r="C1754" s="8" t="s">
        <v>6155</v>
      </c>
      <c r="D1754" s="9" t="s">
        <v>6156</v>
      </c>
      <c r="E1754" s="10" t="str">
        <f>HYPERLINK("https://twitter.com/bassileo/status/1064476658223251458","1064476658223251458")</f>
        <v>1064476658223251458</v>
      </c>
      <c r="F1754" s="11" t="s">
        <v>5818</v>
      </c>
      <c r="G1754" s="12"/>
      <c r="H1754" s="12"/>
      <c r="I1754" s="13">
        <v>21</v>
      </c>
      <c r="J1754" s="13">
        <v>28</v>
      </c>
      <c r="K1754" s="14" t="str">
        <f t="shared" si="325"/>
        <v>Twitter Web Client</v>
      </c>
      <c r="L1754" s="13">
        <v>47351</v>
      </c>
      <c r="M1754" s="13">
        <v>503</v>
      </c>
      <c r="N1754" s="13">
        <v>759</v>
      </c>
      <c r="O1754" s="15"/>
      <c r="P1754" s="6">
        <v>40569.614085648151</v>
      </c>
      <c r="Q1754" s="17" t="s">
        <v>1739</v>
      </c>
      <c r="R1754" s="16" t="s">
        <v>6157</v>
      </c>
      <c r="S1754" s="11" t="s">
        <v>6158</v>
      </c>
      <c r="T1754" s="12"/>
      <c r="U1754" s="10" t="str">
        <f>HYPERLINK("https://pbs.twimg.com/profile_images/881616381447467008/Y9IQI8pL.jpg","View")</f>
        <v>View</v>
      </c>
    </row>
    <row r="1755" spans="1:21" ht="40.799999999999997">
      <c r="A1755" s="6">
        <v>43423.133668981478</v>
      </c>
      <c r="B1755" s="7" t="str">
        <f>HYPERLINK("https://twitter.com/agrnineta","@agrnineta")</f>
        <v>@agrnineta</v>
      </c>
      <c r="C1755" s="8" t="s">
        <v>6159</v>
      </c>
      <c r="D1755" s="9" t="s">
        <v>6160</v>
      </c>
      <c r="E1755" s="10" t="str">
        <f>HYPERLINK("https://twitter.com/agrnineta/status/1064476502765510658","1064476502765510658")</f>
        <v>1064476502765510658</v>
      </c>
      <c r="F1755" s="11" t="s">
        <v>6161</v>
      </c>
      <c r="G1755" s="12"/>
      <c r="H1755" s="12"/>
      <c r="I1755" s="13">
        <v>0</v>
      </c>
      <c r="J1755" s="13">
        <v>0</v>
      </c>
      <c r="K1755" s="14" t="str">
        <f t="shared" si="325"/>
        <v>Twitter Web Client</v>
      </c>
      <c r="L1755" s="13">
        <v>803</v>
      </c>
      <c r="M1755" s="13">
        <v>1831</v>
      </c>
      <c r="N1755" s="13">
        <v>27</v>
      </c>
      <c r="O1755" s="15"/>
      <c r="P1755" s="6">
        <v>40109.540231481486</v>
      </c>
      <c r="Q1755" s="12"/>
      <c r="R1755" s="16" t="s">
        <v>6162</v>
      </c>
      <c r="S1755" s="11" t="s">
        <v>6163</v>
      </c>
      <c r="T1755" s="12"/>
      <c r="U1755" s="10" t="str">
        <f>HYPERLINK("https://pbs.twimg.com/profile_images/855874546439684097/VYpF_Syb.jpg","View")</f>
        <v>View</v>
      </c>
    </row>
    <row r="1756" spans="1:21" ht="30.6">
      <c r="A1756" s="6">
        <v>43423.132893518516</v>
      </c>
      <c r="B1756" s="7" t="str">
        <f>HYPERLINK("https://twitter.com/joangsi","@joangsi")</f>
        <v>@joangsi</v>
      </c>
      <c r="C1756" s="8" t="s">
        <v>3277</v>
      </c>
      <c r="D1756" s="9" t="s">
        <v>6164</v>
      </c>
      <c r="E1756" s="10" t="str">
        <f>HYPERLINK("https://twitter.com/joangsi/status/1064476217984892928","1064476217984892928")</f>
        <v>1064476217984892928</v>
      </c>
      <c r="F1756" s="11" t="s">
        <v>6060</v>
      </c>
      <c r="G1756" s="12"/>
      <c r="H1756" s="12"/>
      <c r="I1756" s="13">
        <v>0</v>
      </c>
      <c r="J1756" s="13">
        <v>1</v>
      </c>
      <c r="K1756" s="14" t="str">
        <f t="shared" si="325"/>
        <v>Twitter Web Client</v>
      </c>
      <c r="L1756" s="13">
        <v>46</v>
      </c>
      <c r="M1756" s="13">
        <v>145</v>
      </c>
      <c r="N1756" s="13">
        <v>2</v>
      </c>
      <c r="O1756" s="15"/>
      <c r="P1756" s="6">
        <v>40977.353831018518</v>
      </c>
      <c r="Q1756" s="17" t="s">
        <v>6165</v>
      </c>
      <c r="R1756" s="16" t="s">
        <v>6166</v>
      </c>
      <c r="S1756" s="12"/>
      <c r="T1756" s="12"/>
      <c r="U1756" s="10" t="str">
        <f>HYPERLINK("https://pbs.twimg.com/profile_images/911981261295620098/j6CW6Qdy.jpg","View")</f>
        <v>View</v>
      </c>
    </row>
    <row r="1757" spans="1:21" ht="40.799999999999997">
      <c r="A1757" s="6">
        <v>43423.128888888888</v>
      </c>
      <c r="B1757" s="7" t="str">
        <f>HYPERLINK("https://twitter.com/Natxo_Saenz","@Natxo_Saenz")</f>
        <v>@Natxo_Saenz</v>
      </c>
      <c r="C1757" s="8" t="s">
        <v>6167</v>
      </c>
      <c r="D1757" s="9" t="s">
        <v>6168</v>
      </c>
      <c r="E1757" s="10" t="str">
        <f>HYPERLINK("https://twitter.com/Natxo_Saenz/status/1064474769830092800","1064474769830092800")</f>
        <v>1064474769830092800</v>
      </c>
      <c r="F1757" s="12"/>
      <c r="G1757" s="12"/>
      <c r="H1757" s="12"/>
      <c r="I1757" s="13">
        <v>0</v>
      </c>
      <c r="J1757" s="13">
        <v>2</v>
      </c>
      <c r="K1757" s="14" t="str">
        <f>HYPERLINK("http://twitter.com/download/android","Twitter for Android")</f>
        <v>Twitter for Android</v>
      </c>
      <c r="L1757" s="13">
        <v>5220</v>
      </c>
      <c r="M1757" s="13">
        <v>3481</v>
      </c>
      <c r="N1757" s="13">
        <v>48</v>
      </c>
      <c r="O1757" s="15"/>
      <c r="P1757" s="6">
        <v>41326.29824074074</v>
      </c>
      <c r="Q1757" s="17" t="s">
        <v>6169</v>
      </c>
      <c r="R1757" s="16" t="s">
        <v>6170</v>
      </c>
      <c r="S1757" s="12"/>
      <c r="T1757" s="12"/>
      <c r="U1757" s="10" t="str">
        <f>HYPERLINK("https://pbs.twimg.com/profile_images/1031219425041698824/x7wodXaZ.jpg","View")</f>
        <v>View</v>
      </c>
    </row>
    <row r="1758" spans="1:21" ht="40.799999999999997">
      <c r="A1758" s="6">
        <v>43423.128425925926</v>
      </c>
      <c r="B1758" s="7" t="str">
        <f>HYPERLINK("https://twitter.com/LolaporDios","@LolaporDios")</f>
        <v>@LolaporDios</v>
      </c>
      <c r="C1758" s="8" t="s">
        <v>6171</v>
      </c>
      <c r="D1758" s="9" t="s">
        <v>6172</v>
      </c>
      <c r="E1758" s="10" t="str">
        <f>HYPERLINK("https://twitter.com/LolaporDios/status/1064474602146021376","1064474602146021376")</f>
        <v>1064474602146021376</v>
      </c>
      <c r="F1758" s="11" t="s">
        <v>6173</v>
      </c>
      <c r="G1758" s="12"/>
      <c r="H1758" s="12"/>
      <c r="I1758" s="13">
        <v>0</v>
      </c>
      <c r="J1758" s="13">
        <v>0</v>
      </c>
      <c r="K1758" s="14" t="str">
        <f>HYPERLINK("http://www.facebook.com/twitter","Facebook")</f>
        <v>Facebook</v>
      </c>
      <c r="L1758" s="13">
        <v>3535</v>
      </c>
      <c r="M1758" s="13">
        <v>4410</v>
      </c>
      <c r="N1758" s="13">
        <v>9</v>
      </c>
      <c r="O1758" s="15"/>
      <c r="P1758" s="6">
        <v>43023.478252314817</v>
      </c>
      <c r="Q1758" s="17" t="s">
        <v>338</v>
      </c>
      <c r="R1758" s="16" t="s">
        <v>6174</v>
      </c>
      <c r="S1758" s="11" t="s">
        <v>6175</v>
      </c>
      <c r="T1758" s="12"/>
      <c r="U1758" s="10" t="str">
        <f>HYPERLINK("https://pbs.twimg.com/profile_images/919635474645438466/YCZEyz8t.jpg","View")</f>
        <v>View</v>
      </c>
    </row>
    <row r="1759" spans="1:21" ht="40.799999999999997">
      <c r="A1759" s="6">
        <v>43423.126064814816</v>
      </c>
      <c r="B1759" s="7" t="str">
        <f>HYPERLINK("https://twitter.com/agrnineta","@agrnineta")</f>
        <v>@agrnineta</v>
      </c>
      <c r="C1759" s="8" t="s">
        <v>6159</v>
      </c>
      <c r="D1759" s="9" t="s">
        <v>6176</v>
      </c>
      <c r="E1759" s="10" t="str">
        <f>HYPERLINK("https://twitter.com/agrnineta/status/1064473746042437633","1064473746042437633")</f>
        <v>1064473746042437633</v>
      </c>
      <c r="F1759" s="11" t="s">
        <v>6177</v>
      </c>
      <c r="G1759" s="12"/>
      <c r="H1759" s="12"/>
      <c r="I1759" s="13">
        <v>0</v>
      </c>
      <c r="J1759" s="13">
        <v>0</v>
      </c>
      <c r="K1759" s="14" t="str">
        <f>HYPERLINK("http://twitter.com","Twitter Web Client")</f>
        <v>Twitter Web Client</v>
      </c>
      <c r="L1759" s="13">
        <v>803</v>
      </c>
      <c r="M1759" s="13">
        <v>1831</v>
      </c>
      <c r="N1759" s="13">
        <v>27</v>
      </c>
      <c r="O1759" s="15"/>
      <c r="P1759" s="6">
        <v>40109.540231481486</v>
      </c>
      <c r="Q1759" s="12"/>
      <c r="R1759" s="16" t="s">
        <v>6162</v>
      </c>
      <c r="S1759" s="11" t="s">
        <v>6163</v>
      </c>
      <c r="T1759" s="12"/>
      <c r="U1759" s="10" t="str">
        <f>HYPERLINK("https://pbs.twimg.com/profile_images/855874546439684097/VYpF_Syb.jpg","View")</f>
        <v>View</v>
      </c>
    </row>
    <row r="1760" spans="1:21" ht="30.6">
      <c r="A1760" s="6">
        <v>43423.12605324074</v>
      </c>
      <c r="B1760" s="7" t="str">
        <f>HYPERLINK("https://twitter.com/sinelo1968","@sinelo1968")</f>
        <v>@sinelo1968</v>
      </c>
      <c r="C1760" s="8" t="s">
        <v>6178</v>
      </c>
      <c r="D1760" s="9" t="s">
        <v>6179</v>
      </c>
      <c r="E1760" s="10" t="str">
        <f>HYPERLINK("https://twitter.com/sinelo1968/status/1064473739377745920","1064473739377745920")</f>
        <v>1064473739377745920</v>
      </c>
      <c r="F1760" s="11" t="s">
        <v>5095</v>
      </c>
      <c r="G1760" s="11" t="s">
        <v>6180</v>
      </c>
      <c r="H1760" s="12"/>
      <c r="I1760" s="13">
        <v>0</v>
      </c>
      <c r="J1760" s="13">
        <v>0</v>
      </c>
      <c r="K1760" s="14" t="str">
        <f>HYPERLINK("https://about.twitter.com/products/tweetdeck","TweetDeck")</f>
        <v>TweetDeck</v>
      </c>
      <c r="L1760" s="13">
        <v>3459</v>
      </c>
      <c r="M1760" s="13">
        <v>3407</v>
      </c>
      <c r="N1760" s="13">
        <v>77</v>
      </c>
      <c r="O1760" s="15"/>
      <c r="P1760" s="6">
        <v>42249.30704861111</v>
      </c>
      <c r="Q1760" s="17" t="s">
        <v>6181</v>
      </c>
      <c r="R1760" s="16" t="s">
        <v>6182</v>
      </c>
      <c r="S1760" s="11" t="s">
        <v>6183</v>
      </c>
      <c r="T1760" s="12"/>
      <c r="U1760" s="10" t="str">
        <f>HYPERLINK("https://pbs.twimg.com/profile_images/1048134955845476352/H4TH4vOp.jpg","View")</f>
        <v>View</v>
      </c>
    </row>
    <row r="1761" spans="1:21" ht="13.2">
      <c r="A1761" s="6">
        <v>43423.124305555553</v>
      </c>
      <c r="B1761" s="7" t="str">
        <f>HYPERLINK("https://twitter.com/agvozme","@agvozme")</f>
        <v>@agvozme</v>
      </c>
      <c r="C1761" s="8" t="s">
        <v>6184</v>
      </c>
      <c r="D1761" s="9" t="s">
        <v>6185</v>
      </c>
      <c r="E1761" s="10" t="str">
        <f>HYPERLINK("https://twitter.com/agvozme/status/1064473106583093248","1064473106583093248")</f>
        <v>1064473106583093248</v>
      </c>
      <c r="F1761" s="11" t="s">
        <v>5997</v>
      </c>
      <c r="G1761" s="12"/>
      <c r="H1761" s="12"/>
      <c r="I1761" s="13">
        <v>10</v>
      </c>
      <c r="J1761" s="13">
        <v>7</v>
      </c>
      <c r="K1761" s="14" t="str">
        <f>HYPERLINK("http://twitter.com/download/android","Twitter for Android")</f>
        <v>Twitter for Android</v>
      </c>
      <c r="L1761" s="13">
        <v>4468</v>
      </c>
      <c r="M1761" s="13">
        <v>3459</v>
      </c>
      <c r="N1761" s="13">
        <v>21</v>
      </c>
      <c r="O1761" s="15"/>
      <c r="P1761" s="6">
        <v>41679.640451388885</v>
      </c>
      <c r="Q1761" s="12"/>
      <c r="R1761" s="16" t="s">
        <v>6186</v>
      </c>
      <c r="S1761" s="12"/>
      <c r="T1761" s="12"/>
      <c r="U1761" s="10" t="str">
        <f>HYPERLINK("https://pbs.twimg.com/profile_images/806945726789992448/d73cPkb0.jpg","View")</f>
        <v>View</v>
      </c>
    </row>
    <row r="1762" spans="1:21" ht="51">
      <c r="A1762" s="6">
        <v>43423.123831018514</v>
      </c>
      <c r="B1762" s="7" t="str">
        <f>HYPERLINK("https://twitter.com/JoseMGarcia77","@JoseMGarcia77")</f>
        <v>@JoseMGarcia77</v>
      </c>
      <c r="C1762" s="8" t="s">
        <v>6187</v>
      </c>
      <c r="D1762" s="9" t="s">
        <v>6188</v>
      </c>
      <c r="E1762" s="10" t="str">
        <f>HYPERLINK("https://twitter.com/JoseMGarcia77/status/1064472934805356544","1064472934805356544")</f>
        <v>1064472934805356544</v>
      </c>
      <c r="F1762" s="11" t="s">
        <v>6189</v>
      </c>
      <c r="G1762" s="12"/>
      <c r="H1762" s="12"/>
      <c r="I1762" s="13">
        <v>0</v>
      </c>
      <c r="J1762" s="13">
        <v>0</v>
      </c>
      <c r="K1762" s="14" t="str">
        <f>HYPERLINK("https://about.twitter.com/products/tweetdeck","TweetDeck")</f>
        <v>TweetDeck</v>
      </c>
      <c r="L1762" s="13">
        <v>152</v>
      </c>
      <c r="M1762" s="13">
        <v>142</v>
      </c>
      <c r="N1762" s="13">
        <v>3</v>
      </c>
      <c r="O1762" s="15"/>
      <c r="P1762" s="6">
        <v>41102.094791666663</v>
      </c>
      <c r="Q1762" s="12"/>
      <c r="R1762" s="18"/>
      <c r="S1762" s="12"/>
      <c r="T1762" s="12"/>
      <c r="U1762" s="10" t="str">
        <f>HYPERLINK("https://pbs.twimg.com/profile_images/554621978561105921/L5pZU-0L.jpeg","View")</f>
        <v>View</v>
      </c>
    </row>
    <row r="1763" spans="1:21" ht="40.799999999999997">
      <c r="A1763" s="6">
        <v>43423.121597222227</v>
      </c>
      <c r="B1763" s="7" t="str">
        <f>HYPERLINK("https://twitter.com/elpais_espana","@elpais_espana")</f>
        <v>@elpais_espana</v>
      </c>
      <c r="C1763" s="8" t="s">
        <v>1973</v>
      </c>
      <c r="D1763" s="9" t="s">
        <v>6190</v>
      </c>
      <c r="E1763" s="10" t="str">
        <f>HYPERLINK("https://twitter.com/elpais_espana/status/1064472124583219205","1064472124583219205")</f>
        <v>1064472124583219205</v>
      </c>
      <c r="F1763" s="11" t="s">
        <v>6191</v>
      </c>
      <c r="G1763" s="12"/>
      <c r="H1763" s="12"/>
      <c r="I1763" s="13">
        <v>12</v>
      </c>
      <c r="J1763" s="13">
        <v>19</v>
      </c>
      <c r="K1763" s="14" t="str">
        <f>HYPERLINK("https://www.hootsuite.com","Hootsuite Inc.")</f>
        <v>Hootsuite Inc.</v>
      </c>
      <c r="L1763" s="13">
        <v>402652</v>
      </c>
      <c r="M1763" s="13">
        <v>799</v>
      </c>
      <c r="N1763" s="13">
        <v>6325</v>
      </c>
      <c r="O1763" s="19" t="s">
        <v>74</v>
      </c>
      <c r="P1763" s="6">
        <v>40245.413946759261</v>
      </c>
      <c r="Q1763" s="17" t="s">
        <v>76</v>
      </c>
      <c r="R1763" s="16" t="s">
        <v>1976</v>
      </c>
      <c r="S1763" s="11" t="s">
        <v>1977</v>
      </c>
      <c r="T1763" s="12"/>
      <c r="U1763" s="10" t="str">
        <f>HYPERLINK("https://pbs.twimg.com/profile_images/917337394914955264/aoU6Bl-8.jpg","View")</f>
        <v>View</v>
      </c>
    </row>
    <row r="1764" spans="1:21" ht="40.799999999999997">
      <c r="A1764" s="6">
        <v>43423.120810185181</v>
      </c>
      <c r="B1764" s="7" t="str">
        <f>HYPERLINK("https://twitter.com/ecd_","@ecd_")</f>
        <v>@ecd_</v>
      </c>
      <c r="C1764" s="8" t="s">
        <v>4699</v>
      </c>
      <c r="D1764" s="9" t="s">
        <v>5779</v>
      </c>
      <c r="E1764" s="10" t="str">
        <f>HYPERLINK("https://twitter.com/ecd_/status/1064471839785828352","1064471839785828352")</f>
        <v>1064471839785828352</v>
      </c>
      <c r="F1764" s="11" t="s">
        <v>6192</v>
      </c>
      <c r="G1764" s="12"/>
      <c r="H1764" s="12"/>
      <c r="I1764" s="13">
        <v>0</v>
      </c>
      <c r="J1764" s="13">
        <v>0</v>
      </c>
      <c r="K1764" s="14" t="str">
        <f>HYPERLINK("http://dogtrack.es","DogTrack_Oficial")</f>
        <v>DogTrack_Oficial</v>
      </c>
      <c r="L1764" s="13">
        <v>88323</v>
      </c>
      <c r="M1764" s="13">
        <v>362</v>
      </c>
      <c r="N1764" s="13">
        <v>2646</v>
      </c>
      <c r="O1764" s="15"/>
      <c r="P1764" s="6">
        <v>39931.355115740742</v>
      </c>
      <c r="Q1764" s="29" t="s">
        <v>4701</v>
      </c>
      <c r="R1764" s="16" t="s">
        <v>4702</v>
      </c>
      <c r="S1764" s="11" t="s">
        <v>4703</v>
      </c>
      <c r="T1764" s="12"/>
      <c r="U1764" s="10" t="str">
        <f>HYPERLINK("https://pbs.twimg.com/profile_images/720595850238554113/Y8DGFyzZ.jpg","View")</f>
        <v>View</v>
      </c>
    </row>
    <row r="1765" spans="1:21" ht="20.399999999999999">
      <c r="A1765" s="6">
        <v>43423.118356481486</v>
      </c>
      <c r="B1765" s="7" t="str">
        <f>HYPERLINK("https://twitter.com/Aloymunoz1","@Aloymunoz1")</f>
        <v>@Aloymunoz1</v>
      </c>
      <c r="C1765" s="8" t="s">
        <v>6193</v>
      </c>
      <c r="D1765" s="9" t="s">
        <v>6194</v>
      </c>
      <c r="E1765" s="10" t="str">
        <f>HYPERLINK("https://twitter.com/Aloymunoz1/status/1064470953307062272","1064470953307062272")</f>
        <v>1064470953307062272</v>
      </c>
      <c r="F1765" s="11" t="s">
        <v>6195</v>
      </c>
      <c r="G1765" s="12"/>
      <c r="H1765" s="12"/>
      <c r="I1765" s="13">
        <v>0</v>
      </c>
      <c r="J1765" s="13">
        <v>0</v>
      </c>
      <c r="K1765" s="14" t="str">
        <f>HYPERLINK("http://www.facebook.com/twitter","Facebook")</f>
        <v>Facebook</v>
      </c>
      <c r="L1765" s="13">
        <v>633</v>
      </c>
      <c r="M1765" s="13">
        <v>4157</v>
      </c>
      <c r="N1765" s="13">
        <v>3</v>
      </c>
      <c r="O1765" s="15"/>
      <c r="P1765" s="6">
        <v>42164.100393518514</v>
      </c>
      <c r="Q1765" s="17" t="s">
        <v>4265</v>
      </c>
      <c r="R1765" s="18"/>
      <c r="S1765" s="11" t="s">
        <v>6196</v>
      </c>
      <c r="T1765" s="12"/>
      <c r="U1765" s="10" t="str">
        <f>HYPERLINK("https://pbs.twimg.com/profile_images/955890055893127168/7aPi7VPM.jpg","View")</f>
        <v>View</v>
      </c>
    </row>
    <row r="1766" spans="1:21" ht="61.2">
      <c r="A1766" s="6">
        <v>43423.118055555555</v>
      </c>
      <c r="B1766" s="7" t="str">
        <f>HYPERLINK("https://twitter.com/eldiarioInt","@eldiarioInt")</f>
        <v>@eldiarioInt</v>
      </c>
      <c r="C1766" s="8" t="s">
        <v>6197</v>
      </c>
      <c r="D1766" s="9" t="s">
        <v>5452</v>
      </c>
      <c r="E1766" s="10" t="str">
        <f>HYPERLINK("https://twitter.com/eldiarioInt/status/1064470842317271040","1064470842317271040")</f>
        <v>1064470842317271040</v>
      </c>
      <c r="F1766" s="11" t="s">
        <v>5453</v>
      </c>
      <c r="G1766" s="11" t="s">
        <v>6198</v>
      </c>
      <c r="H1766" s="12"/>
      <c r="I1766" s="13">
        <v>2</v>
      </c>
      <c r="J1766" s="13">
        <v>0</v>
      </c>
      <c r="K1766" s="14" t="str">
        <f>HYPERLINK("https://about.twitter.com/products/tweetdeck","TweetDeck")</f>
        <v>TweetDeck</v>
      </c>
      <c r="L1766" s="13">
        <v>9732</v>
      </c>
      <c r="M1766" s="13">
        <v>139</v>
      </c>
      <c r="N1766" s="13">
        <v>277</v>
      </c>
      <c r="O1766" s="15"/>
      <c r="P1766" s="6">
        <v>42243.163958333331</v>
      </c>
      <c r="Q1766" s="12"/>
      <c r="R1766" s="16" t="s">
        <v>6199</v>
      </c>
      <c r="S1766" s="11" t="s">
        <v>6200</v>
      </c>
      <c r="T1766" s="12"/>
      <c r="U1766" s="10" t="str">
        <f>HYPERLINK("https://pbs.twimg.com/profile_images/878188627616047105/4v35wrnJ.jpg","View")</f>
        <v>View</v>
      </c>
    </row>
    <row r="1767" spans="1:21" ht="40.799999999999997">
      <c r="A1767" s="6">
        <v>43423.117604166662</v>
      </c>
      <c r="B1767" s="7" t="str">
        <f>HYPERLINK("https://twitter.com/ximo_morante","@ximo_morante")</f>
        <v>@ximo_morante</v>
      </c>
      <c r="C1767" s="8" t="s">
        <v>6201</v>
      </c>
      <c r="D1767" s="9" t="s">
        <v>6202</v>
      </c>
      <c r="E1767" s="10" t="str">
        <f>HYPERLINK("https://twitter.com/ximo_morante/status/1064470679582662656","1064470679582662656")</f>
        <v>1064470679582662656</v>
      </c>
      <c r="F1767" s="11" t="s">
        <v>4961</v>
      </c>
      <c r="G1767" s="11" t="s">
        <v>6203</v>
      </c>
      <c r="H1767" s="12"/>
      <c r="I1767" s="13">
        <v>1</v>
      </c>
      <c r="J1767" s="13">
        <v>1</v>
      </c>
      <c r="K1767" s="14" t="str">
        <f>HYPERLINK("http://twitter.com","Twitter Web Client")</f>
        <v>Twitter Web Client</v>
      </c>
      <c r="L1767" s="13">
        <v>19</v>
      </c>
      <c r="M1767" s="13">
        <v>45</v>
      </c>
      <c r="N1767" s="13">
        <v>2</v>
      </c>
      <c r="O1767" s="15"/>
      <c r="P1767" s="6">
        <v>43067.305960648147</v>
      </c>
      <c r="Q1767" s="17" t="s">
        <v>208</v>
      </c>
      <c r="R1767" s="18"/>
      <c r="S1767" s="12"/>
      <c r="T1767" s="12"/>
      <c r="U1767" s="10" t="str">
        <f>HYPERLINK("https://pbs.twimg.com/profile_images/1001846160254996482/R5IGR4WO.jpg","View")</f>
        <v>View</v>
      </c>
    </row>
    <row r="1768" spans="1:21" ht="30.6">
      <c r="A1768" s="6">
        <v>43423.117048611108</v>
      </c>
      <c r="B1768" s="7" t="str">
        <f>HYPERLINK("https://twitter.com/miravetejm","@miravetejm")</f>
        <v>@miravetejm</v>
      </c>
      <c r="C1768" s="8" t="s">
        <v>6204</v>
      </c>
      <c r="D1768" s="9" t="s">
        <v>6205</v>
      </c>
      <c r="E1768" s="10" t="str">
        <f>HYPERLINK("https://twitter.com/miravetejm/status/1064470479157760000","1064470479157760000")</f>
        <v>1064470479157760000</v>
      </c>
      <c r="F1768" s="11" t="s">
        <v>1941</v>
      </c>
      <c r="G1768" s="12"/>
      <c r="H1768" s="12"/>
      <c r="I1768" s="13">
        <v>0</v>
      </c>
      <c r="J1768" s="13">
        <v>0</v>
      </c>
      <c r="K1768" s="14" t="str">
        <f>HYPERLINK("http://www.facebook.com/twitter","Facebook")</f>
        <v>Facebook</v>
      </c>
      <c r="L1768" s="13">
        <v>343</v>
      </c>
      <c r="M1768" s="13">
        <v>373</v>
      </c>
      <c r="N1768" s="13">
        <v>4</v>
      </c>
      <c r="O1768" s="15"/>
      <c r="P1768" s="6">
        <v>40735.31658564815</v>
      </c>
      <c r="Q1768" s="17" t="s">
        <v>6206</v>
      </c>
      <c r="R1768" s="18"/>
      <c r="S1768" s="12"/>
      <c r="T1768" s="12"/>
      <c r="U1768" s="10" t="str">
        <f>HYPERLINK("https://pbs.twimg.com/profile_images/586943862368636930/VqB0MIFF.jpg","View")</f>
        <v>View</v>
      </c>
    </row>
    <row r="1769" spans="1:21" ht="20.399999999999999">
      <c r="A1769" s="6">
        <v>43423.116145833337</v>
      </c>
      <c r="B1769" s="7" t="str">
        <f>HYPERLINK("https://twitter.com/TTuiteroman","@TTuiteroman")</f>
        <v>@TTuiteroman</v>
      </c>
      <c r="C1769" s="8" t="s">
        <v>6207</v>
      </c>
      <c r="D1769" s="9" t="s">
        <v>6208</v>
      </c>
      <c r="E1769" s="10" t="str">
        <f>HYPERLINK("https://twitter.com/TTuiteroman/status/1064470152509616130","1064470152509616130")</f>
        <v>1064470152509616130</v>
      </c>
      <c r="F1769" s="12"/>
      <c r="G1769" s="12"/>
      <c r="H1769" s="12"/>
      <c r="I1769" s="13">
        <v>1</v>
      </c>
      <c r="J1769" s="13">
        <v>1</v>
      </c>
      <c r="K1769" s="14" t="str">
        <f>HYPERLINK("http://twitter.com","Twitter Web Client")</f>
        <v>Twitter Web Client</v>
      </c>
      <c r="L1769" s="13">
        <v>160</v>
      </c>
      <c r="M1769" s="13">
        <v>292</v>
      </c>
      <c r="N1769" s="13">
        <v>0</v>
      </c>
      <c r="O1769" s="15"/>
      <c r="P1769" s="6">
        <v>43164.125810185185</v>
      </c>
      <c r="Q1769" s="12"/>
      <c r="R1769" s="16" t="s">
        <v>6209</v>
      </c>
      <c r="S1769" s="12"/>
      <c r="T1769" s="12"/>
      <c r="U1769" s="10" t="str">
        <f>HYPERLINK("https://pbs.twimg.com/profile_images/970625286445453312/YvrD-ak1.jpg","View")</f>
        <v>View</v>
      </c>
    </row>
    <row r="1770" spans="1:21" ht="30.6">
      <c r="A1770" s="6">
        <v>43423.113402777773</v>
      </c>
      <c r="B1770" s="7" t="str">
        <f>HYPERLINK("https://twitter.com/2Panoramix","@2Panoramix")</f>
        <v>@2Panoramix</v>
      </c>
      <c r="C1770" s="8" t="s">
        <v>6210</v>
      </c>
      <c r="D1770" s="9" t="s">
        <v>6211</v>
      </c>
      <c r="E1770" s="10" t="str">
        <f>HYPERLINK("https://twitter.com/2Panoramix/status/1064469156098129920","1064469156098129920")</f>
        <v>1064469156098129920</v>
      </c>
      <c r="F1770" s="11" t="s">
        <v>4961</v>
      </c>
      <c r="G1770" s="12"/>
      <c r="H1770" s="12"/>
      <c r="I1770" s="13">
        <v>0</v>
      </c>
      <c r="J1770" s="13">
        <v>0</v>
      </c>
      <c r="K1770" s="14" t="str">
        <f>HYPERLINK("http://twitter.com/download/android","Twitter for Android")</f>
        <v>Twitter for Android</v>
      </c>
      <c r="L1770" s="13">
        <v>119</v>
      </c>
      <c r="M1770" s="13">
        <v>268</v>
      </c>
      <c r="N1770" s="13">
        <v>4</v>
      </c>
      <c r="O1770" s="15"/>
      <c r="P1770" s="6">
        <v>40080.731354166666</v>
      </c>
      <c r="Q1770" s="12"/>
      <c r="R1770" s="16" t="s">
        <v>6212</v>
      </c>
      <c r="S1770" s="12"/>
      <c r="T1770" s="12"/>
      <c r="U1770" s="10" t="str">
        <f>HYPERLINK("https://pbs.twimg.com/profile_images/613487557121318912/foOrIpXo.jpg","View")</f>
        <v>View</v>
      </c>
    </row>
    <row r="1771" spans="1:21" ht="30.6">
      <c r="A1771" s="6">
        <v>43423.112673611111</v>
      </c>
      <c r="B1771" s="7" t="str">
        <f>HYPERLINK("https://twitter.com/15MePlanto","@15MePlanto")</f>
        <v>@15MePlanto</v>
      </c>
      <c r="C1771" s="8" t="s">
        <v>6213</v>
      </c>
      <c r="D1771" s="9" t="s">
        <v>6214</v>
      </c>
      <c r="E1771" s="10" t="str">
        <f>HYPERLINK("https://twitter.com/15MePlanto/status/1064468894092533760","1064468894092533760")</f>
        <v>1064468894092533760</v>
      </c>
      <c r="F1771" s="11" t="s">
        <v>6215</v>
      </c>
      <c r="G1771" s="12"/>
      <c r="H1771" s="12"/>
      <c r="I1771" s="13">
        <v>0</v>
      </c>
      <c r="J1771" s="13">
        <v>0</v>
      </c>
      <c r="K1771" s="14" t="str">
        <f t="shared" ref="K1771:K1774" si="326">HYPERLINK("http://www.facebook.com/twitter","Facebook")</f>
        <v>Facebook</v>
      </c>
      <c r="L1771" s="13">
        <v>770</v>
      </c>
      <c r="M1771" s="13">
        <v>943</v>
      </c>
      <c r="N1771" s="13">
        <v>22</v>
      </c>
      <c r="O1771" s="15"/>
      <c r="P1771" s="6">
        <v>41241.457731481481</v>
      </c>
      <c r="Q1771" s="12"/>
      <c r="R1771" s="16" t="s">
        <v>6216</v>
      </c>
      <c r="S1771" s="11" t="s">
        <v>6217</v>
      </c>
      <c r="T1771" s="12"/>
      <c r="U1771" s="10" t="str">
        <f>HYPERLINK("https://pbs.twimg.com/profile_images/664406378660954113/NyysUuix.jpg","View")</f>
        <v>View</v>
      </c>
    </row>
    <row r="1772" spans="1:21" ht="13.2">
      <c r="A1772" s="6">
        <v>43423.112523148149</v>
      </c>
      <c r="B1772" s="7" t="str">
        <f>HYPERLINK("https://twitter.com/claro_hablemos","@claro_hablemos")</f>
        <v>@claro_hablemos</v>
      </c>
      <c r="C1772" s="8" t="s">
        <v>6218</v>
      </c>
      <c r="D1772" s="9" t="s">
        <v>6214</v>
      </c>
      <c r="E1772" s="10" t="str">
        <f>HYPERLINK("https://twitter.com/claro_hablemos/status/1064468838178324480","1064468838178324480")</f>
        <v>1064468838178324480</v>
      </c>
      <c r="F1772" s="11" t="s">
        <v>6219</v>
      </c>
      <c r="G1772" s="12"/>
      <c r="H1772" s="12"/>
      <c r="I1772" s="13">
        <v>0</v>
      </c>
      <c r="J1772" s="13">
        <v>0</v>
      </c>
      <c r="K1772" s="14" t="str">
        <f t="shared" si="326"/>
        <v>Facebook</v>
      </c>
      <c r="L1772" s="13">
        <v>123</v>
      </c>
      <c r="M1772" s="13">
        <v>0</v>
      </c>
      <c r="N1772" s="13">
        <v>8</v>
      </c>
      <c r="O1772" s="15"/>
      <c r="P1772" s="6">
        <v>41606.717418981483</v>
      </c>
      <c r="Q1772" s="12"/>
      <c r="R1772" s="18"/>
      <c r="S1772" s="11" t="s">
        <v>6220</v>
      </c>
      <c r="T1772" s="12"/>
      <c r="U1772" s="10" t="str">
        <f>HYPERLINK("https://pbs.twimg.com/profile_images/378800000822369815/585abfebf501df41e60d7a74b48cf644.png","View")</f>
        <v>View</v>
      </c>
    </row>
    <row r="1773" spans="1:21" ht="13.2">
      <c r="A1773" s="6">
        <v>43423.112361111111</v>
      </c>
      <c r="B1773" s="7" t="str">
        <f>HYPERLINK("https://twitter.com/juansantiso","@juansantiso")</f>
        <v>@juansantiso</v>
      </c>
      <c r="C1773" s="8" t="s">
        <v>385</v>
      </c>
      <c r="D1773" s="9" t="s">
        <v>6214</v>
      </c>
      <c r="E1773" s="10" t="str">
        <f>HYPERLINK("https://twitter.com/juansantiso/status/1064468780489822208","1064468780489822208")</f>
        <v>1064468780489822208</v>
      </c>
      <c r="F1773" s="11" t="s">
        <v>6221</v>
      </c>
      <c r="G1773" s="12"/>
      <c r="H1773" s="12"/>
      <c r="I1773" s="13">
        <v>0</v>
      </c>
      <c r="J1773" s="13">
        <v>0</v>
      </c>
      <c r="K1773" s="14" t="str">
        <f t="shared" si="326"/>
        <v>Facebook</v>
      </c>
      <c r="L1773" s="13">
        <v>1782</v>
      </c>
      <c r="M1773" s="13">
        <v>2932</v>
      </c>
      <c r="N1773" s="13">
        <v>61</v>
      </c>
      <c r="O1773" s="15"/>
      <c r="P1773" s="6">
        <v>40792.641388888893</v>
      </c>
      <c r="Q1773" s="17" t="s">
        <v>392</v>
      </c>
      <c r="R1773" s="16" t="s">
        <v>393</v>
      </c>
      <c r="S1773" s="11" t="s">
        <v>394</v>
      </c>
      <c r="T1773" s="12"/>
      <c r="U1773" s="10" t="str">
        <f>HYPERLINK("https://pbs.twimg.com/profile_images/983668180848701443/IF4Y7rRA.jpg","View")</f>
        <v>View</v>
      </c>
    </row>
    <row r="1774" spans="1:21" ht="30.6">
      <c r="A1774" s="6">
        <v>43423.111712962964</v>
      </c>
      <c r="B1774" s="7" t="str">
        <f>HYPERLINK("https://twitter.com/susi_alonso","@susi_alonso")</f>
        <v>@susi_alonso</v>
      </c>
      <c r="C1774" s="8" t="s">
        <v>6222</v>
      </c>
      <c r="D1774" s="9" t="s">
        <v>6223</v>
      </c>
      <c r="E1774" s="10" t="str">
        <f>HYPERLINK("https://twitter.com/susi_alonso/status/1064468545944387584","1064468545944387584")</f>
        <v>1064468545944387584</v>
      </c>
      <c r="F1774" s="11" t="s">
        <v>6224</v>
      </c>
      <c r="G1774" s="12"/>
      <c r="H1774" s="12"/>
      <c r="I1774" s="13">
        <v>0</v>
      </c>
      <c r="J1774" s="13">
        <v>0</v>
      </c>
      <c r="K1774" s="14" t="str">
        <f t="shared" si="326"/>
        <v>Facebook</v>
      </c>
      <c r="L1774" s="13">
        <v>73</v>
      </c>
      <c r="M1774" s="13">
        <v>306</v>
      </c>
      <c r="N1774" s="13">
        <v>4</v>
      </c>
      <c r="O1774" s="15"/>
      <c r="P1774" s="6">
        <v>40470.099328703705</v>
      </c>
      <c r="Q1774" s="17" t="s">
        <v>6225</v>
      </c>
      <c r="R1774" s="18"/>
      <c r="S1774" s="12"/>
      <c r="T1774" s="12"/>
      <c r="U1774" s="10" t="str">
        <f>HYPERLINK("https://pbs.twimg.com/profile_images/655764423651557376/6qiqXTvO.jpg","View")</f>
        <v>View</v>
      </c>
    </row>
    <row r="1775" spans="1:21" ht="30.6">
      <c r="A1775" s="6">
        <v>43423.104849537034</v>
      </c>
      <c r="B1775" s="7" t="str">
        <f>HYPERLINK("https://twitter.com/cozden","@cozden")</f>
        <v>@cozden</v>
      </c>
      <c r="C1775" s="8" t="s">
        <v>788</v>
      </c>
      <c r="D1775" s="9" t="s">
        <v>6226</v>
      </c>
      <c r="E1775" s="10" t="str">
        <f>HYPERLINK("https://twitter.com/cozden/status/1064466056515866625","1064466056515866625")</f>
        <v>1064466056515866625</v>
      </c>
      <c r="F1775" s="11" t="s">
        <v>6227</v>
      </c>
      <c r="G1775" s="12"/>
      <c r="H1775" s="12"/>
      <c r="I1775" s="13">
        <v>1</v>
      </c>
      <c r="J1775" s="13">
        <v>0</v>
      </c>
      <c r="K1775" s="14" t="str">
        <f>HYPERLINK("http://twitter.com","Twitter Web Client")</f>
        <v>Twitter Web Client</v>
      </c>
      <c r="L1775" s="13">
        <v>3242</v>
      </c>
      <c r="M1775" s="13">
        <v>4451</v>
      </c>
      <c r="N1775" s="13">
        <v>139</v>
      </c>
      <c r="O1775" s="15"/>
      <c r="P1775" s="6">
        <v>40334.359826388885</v>
      </c>
      <c r="Q1775" s="17" t="s">
        <v>789</v>
      </c>
      <c r="R1775" s="16" t="s">
        <v>790</v>
      </c>
      <c r="S1775" s="11" t="s">
        <v>791</v>
      </c>
      <c r="T1775" s="12"/>
      <c r="U1775" s="10" t="str">
        <f>HYPERLINK("https://pbs.twimg.com/profile_images/914924562386735105/ZrsfFh_j.jpg","View")</f>
        <v>View</v>
      </c>
    </row>
    <row r="1776" spans="1:21" ht="20.399999999999999">
      <c r="A1776" s="6">
        <v>43423.104166666672</v>
      </c>
      <c r="B1776" s="7" t="str">
        <f>HYPERLINK("https://twitter.com/eljueves","@eljueves")</f>
        <v>@eljueves</v>
      </c>
      <c r="C1776" s="8" t="s">
        <v>811</v>
      </c>
      <c r="D1776" s="9" t="s">
        <v>6228</v>
      </c>
      <c r="E1776" s="10" t="str">
        <f>HYPERLINK("https://twitter.com/eljueves/status/1064465809248907264","1064465809248907264")</f>
        <v>1064465809248907264</v>
      </c>
      <c r="F1776" s="11" t="s">
        <v>6229</v>
      </c>
      <c r="G1776" s="12"/>
      <c r="H1776" s="12"/>
      <c r="I1776" s="13">
        <v>761</v>
      </c>
      <c r="J1776" s="13">
        <v>1702</v>
      </c>
      <c r="K1776" s="14" t="str">
        <f>HYPERLINK("https://about.twitter.com/products/tweetdeck","TweetDeck")</f>
        <v>TweetDeck</v>
      </c>
      <c r="L1776" s="13">
        <v>1094238</v>
      </c>
      <c r="M1776" s="13">
        <v>598</v>
      </c>
      <c r="N1776" s="13">
        <v>6084</v>
      </c>
      <c r="O1776" s="19" t="s">
        <v>74</v>
      </c>
      <c r="P1776" s="6">
        <v>39757.339386574073</v>
      </c>
      <c r="Q1776" s="17" t="s">
        <v>29</v>
      </c>
      <c r="R1776" s="16" t="s">
        <v>812</v>
      </c>
      <c r="S1776" s="11" t="s">
        <v>813</v>
      </c>
      <c r="T1776" s="12"/>
      <c r="U1776" s="10" t="str">
        <f>HYPERLINK("https://pbs.twimg.com/profile_images/378800000384529554/ce1c0f07805fb6c778364d8ad578a349.png","View")</f>
        <v>View</v>
      </c>
    </row>
    <row r="1777" spans="1:21" ht="20.399999999999999">
      <c r="A1777" s="6">
        <v>43423.101539351846</v>
      </c>
      <c r="B1777" s="7" t="str">
        <f>HYPERLINK("https://twitter.com/lolapastur","@lolapastur")</f>
        <v>@lolapastur</v>
      </c>
      <c r="C1777" s="8" t="s">
        <v>1047</v>
      </c>
      <c r="D1777" s="9" t="s">
        <v>6082</v>
      </c>
      <c r="E1777" s="10" t="str">
        <f>HYPERLINK("https://twitter.com/lolapastur/status/1064464859478323200","1064464859478323200")</f>
        <v>1064464859478323200</v>
      </c>
      <c r="F1777" s="11" t="s">
        <v>6083</v>
      </c>
      <c r="G1777" s="12"/>
      <c r="H1777" s="12"/>
      <c r="I1777" s="13">
        <v>0</v>
      </c>
      <c r="J1777" s="13">
        <v>0</v>
      </c>
      <c r="K1777" s="14" t="str">
        <f>HYPERLINK("http://twitter.com/download/iphone","Twitter for iPhone")</f>
        <v>Twitter for iPhone</v>
      </c>
      <c r="L1777" s="13">
        <v>3768</v>
      </c>
      <c r="M1777" s="13">
        <v>2836</v>
      </c>
      <c r="N1777" s="13">
        <v>32</v>
      </c>
      <c r="O1777" s="15"/>
      <c r="P1777" s="6">
        <v>40913.224293981482</v>
      </c>
      <c r="Q1777" s="12"/>
      <c r="R1777" s="16" t="s">
        <v>1050</v>
      </c>
      <c r="S1777" s="12"/>
      <c r="T1777" s="12"/>
      <c r="U1777" s="10" t="str">
        <f>HYPERLINK("https://pbs.twimg.com/profile_images/934821295736451073/tnymHvNj.jpg","View")</f>
        <v>View</v>
      </c>
    </row>
    <row r="1778" spans="1:21" ht="40.799999999999997">
      <c r="A1778" s="6">
        <v>43423.101099537038</v>
      </c>
      <c r="B1778" s="7" t="str">
        <f>HYPERLINK("https://twitter.com/Canal4Radio","@Canal4Radio")</f>
        <v>@Canal4Radio</v>
      </c>
      <c r="C1778" s="8" t="s">
        <v>6230</v>
      </c>
      <c r="D1778" s="9" t="s">
        <v>6231</v>
      </c>
      <c r="E1778" s="10" t="str">
        <f>HYPERLINK("https://twitter.com/Canal4Radio/status/1064464699033563136","1064464699033563136")</f>
        <v>1064464699033563136</v>
      </c>
      <c r="F1778" s="11" t="s">
        <v>6232</v>
      </c>
      <c r="G1778" s="12"/>
      <c r="H1778" s="12"/>
      <c r="I1778" s="13">
        <v>0</v>
      </c>
      <c r="J1778" s="13">
        <v>0</v>
      </c>
      <c r="K1778" s="14" t="str">
        <f>HYPERLINK("https://www.hootsuite.com","Hootsuite Inc.")</f>
        <v>Hootsuite Inc.</v>
      </c>
      <c r="L1778" s="13">
        <v>1572</v>
      </c>
      <c r="M1778" s="13">
        <v>951</v>
      </c>
      <c r="N1778" s="13">
        <v>16</v>
      </c>
      <c r="O1778" s="15"/>
      <c r="P1778" s="6">
        <v>42544.225798611107</v>
      </c>
      <c r="Q1778" s="17" t="s">
        <v>2253</v>
      </c>
      <c r="R1778" s="16" t="s">
        <v>6233</v>
      </c>
      <c r="S1778" s="11" t="s">
        <v>6234</v>
      </c>
      <c r="T1778" s="12"/>
      <c r="U1778" s="10" t="str">
        <f>HYPERLINK("https://pbs.twimg.com/profile_images/1013704019032920064/MY0Yn3qX.jpg","View")</f>
        <v>View</v>
      </c>
    </row>
    <row r="1779" spans="1:21" ht="51">
      <c r="A1779" s="6">
        <v>43423.097407407404</v>
      </c>
      <c r="B1779" s="7" t="str">
        <f>HYPERLINK("https://twitter.com/luciomolina","@luciomolina")</f>
        <v>@luciomolina</v>
      </c>
      <c r="C1779" s="8" t="s">
        <v>6235</v>
      </c>
      <c r="D1779" s="9" t="s">
        <v>6236</v>
      </c>
      <c r="E1779" s="10" t="str">
        <f>HYPERLINK("https://twitter.com/luciomolina/status/1064463359284781061","1064463359284781061")</f>
        <v>1064463359284781061</v>
      </c>
      <c r="F1779" s="12"/>
      <c r="G1779" s="11" t="s">
        <v>6237</v>
      </c>
      <c r="H1779" s="12"/>
      <c r="I1779" s="13">
        <v>3</v>
      </c>
      <c r="J1779" s="13">
        <v>0</v>
      </c>
      <c r="K1779" s="14" t="str">
        <f t="shared" ref="K1779:K1780" si="327">HYPERLINK("http://twitter.com","Twitter Web Client")</f>
        <v>Twitter Web Client</v>
      </c>
      <c r="L1779" s="13">
        <v>4009</v>
      </c>
      <c r="M1779" s="13">
        <v>4604</v>
      </c>
      <c r="N1779" s="13">
        <v>40</v>
      </c>
      <c r="O1779" s="15"/>
      <c r="P1779" s="6">
        <v>39864.515057870369</v>
      </c>
      <c r="Q1779" s="17" t="s">
        <v>6238</v>
      </c>
      <c r="R1779" s="16" t="s">
        <v>6239</v>
      </c>
      <c r="S1779" s="12"/>
      <c r="T1779" s="12"/>
      <c r="U1779" s="10" t="str">
        <f>HYPERLINK("https://pbs.twimg.com/profile_images/818409600638734336/FzPf2Ld7.jpg","View")</f>
        <v>View</v>
      </c>
    </row>
    <row r="1780" spans="1:21" ht="40.799999999999997">
      <c r="A1780" s="6">
        <v>43423.090787037036</v>
      </c>
      <c r="B1780" s="7" t="str">
        <f>HYPERLINK("https://twitter.com/Canal_Z_","@Canal_Z_")</f>
        <v>@Canal_Z_</v>
      </c>
      <c r="C1780" s="8" t="s">
        <v>5074</v>
      </c>
      <c r="D1780" s="9" t="s">
        <v>6240</v>
      </c>
      <c r="E1780" s="10" t="str">
        <f>HYPERLINK("https://twitter.com/Canal_Z_/status/1064460959274672128","1064460959274672128")</f>
        <v>1064460959274672128</v>
      </c>
      <c r="F1780" s="11" t="s">
        <v>6241</v>
      </c>
      <c r="G1780" s="11" t="s">
        <v>6242</v>
      </c>
      <c r="H1780" s="12"/>
      <c r="I1780" s="13">
        <v>0</v>
      </c>
      <c r="J1780" s="13">
        <v>0</v>
      </c>
      <c r="K1780" s="14" t="str">
        <f t="shared" si="327"/>
        <v>Twitter Web Client</v>
      </c>
      <c r="L1780" s="13">
        <v>2270</v>
      </c>
      <c r="M1780" s="13">
        <v>4979</v>
      </c>
      <c r="N1780" s="13">
        <v>6</v>
      </c>
      <c r="O1780" s="15"/>
      <c r="P1780" s="6">
        <v>41461.900254629625</v>
      </c>
      <c r="Q1780" s="17" t="s">
        <v>29</v>
      </c>
      <c r="R1780" s="16" t="s">
        <v>5078</v>
      </c>
      <c r="S1780" s="12"/>
      <c r="T1780" s="12"/>
      <c r="U1780" s="10" t="str">
        <f>HYPERLINK("https://pbs.twimg.com/profile_images/1008407123242422272/aENpWjy6.jpg","View")</f>
        <v>View</v>
      </c>
    </row>
    <row r="1781" spans="1:21" ht="30.6">
      <c r="A1781" s="6">
        <v>43423.09</v>
      </c>
      <c r="B1781" s="7" t="str">
        <f>HYPERLINK("https://twitter.com/jcarloslh","@jcarloslh")</f>
        <v>@jcarloslh</v>
      </c>
      <c r="C1781" s="8" t="s">
        <v>2370</v>
      </c>
      <c r="D1781" s="9" t="s">
        <v>6243</v>
      </c>
      <c r="E1781" s="10" t="str">
        <f>HYPERLINK("https://twitter.com/jcarloslh/status/1064460675907559429","1064460675907559429")</f>
        <v>1064460675907559429</v>
      </c>
      <c r="F1781" s="11" t="s">
        <v>6244</v>
      </c>
      <c r="G1781" s="12"/>
      <c r="H1781" s="12"/>
      <c r="I1781" s="13">
        <v>0</v>
      </c>
      <c r="J1781" s="13">
        <v>0</v>
      </c>
      <c r="K1781" s="14" t="str">
        <f t="shared" ref="K1781:K1782" si="328">HYPERLINK("http://www.facebook.com/twitter","Facebook")</f>
        <v>Facebook</v>
      </c>
      <c r="L1781" s="13">
        <v>186</v>
      </c>
      <c r="M1781" s="13">
        <v>190</v>
      </c>
      <c r="N1781" s="13">
        <v>9</v>
      </c>
      <c r="O1781" s="15"/>
      <c r="P1781" s="6">
        <v>40433.54041666667</v>
      </c>
      <c r="Q1781" s="17" t="s">
        <v>29</v>
      </c>
      <c r="R1781" s="18"/>
      <c r="S1781" s="12"/>
      <c r="T1781" s="12"/>
      <c r="U1781" s="10" t="str">
        <f>HYPERLINK("https://pbs.twimg.com/profile_images/3399813895/ffa75fdcb08baf5251d475f9fca4c818.jpeg","View")</f>
        <v>View</v>
      </c>
    </row>
    <row r="1782" spans="1:21" ht="61.2">
      <c r="A1782" s="6">
        <v>43423.089849537035</v>
      </c>
      <c r="B1782" s="7" t="str">
        <f>HYPERLINK("https://twitter.com/AuroritaArce","@AuroritaArce")</f>
        <v>@AuroritaArce</v>
      </c>
      <c r="C1782" s="8" t="s">
        <v>6245</v>
      </c>
      <c r="D1782" s="9" t="s">
        <v>6246</v>
      </c>
      <c r="E1782" s="10" t="str">
        <f>HYPERLINK("https://twitter.com/AuroritaArce/status/1064460619267694592","1064460619267694592")</f>
        <v>1064460619267694592</v>
      </c>
      <c r="F1782" s="17" t="s">
        <v>6247</v>
      </c>
      <c r="G1782" s="11" t="s">
        <v>6248</v>
      </c>
      <c r="H1782" s="12"/>
      <c r="I1782" s="13">
        <v>0</v>
      </c>
      <c r="J1782" s="13">
        <v>0</v>
      </c>
      <c r="K1782" s="14" t="str">
        <f t="shared" si="328"/>
        <v>Facebook</v>
      </c>
      <c r="L1782" s="13">
        <v>143</v>
      </c>
      <c r="M1782" s="13">
        <v>420</v>
      </c>
      <c r="N1782" s="13">
        <v>1</v>
      </c>
      <c r="O1782" s="15"/>
      <c r="P1782" s="6">
        <v>42490.325231481482</v>
      </c>
      <c r="Q1782" s="17" t="s">
        <v>143</v>
      </c>
      <c r="R1782" s="16" t="s">
        <v>6249</v>
      </c>
      <c r="S1782" s="11" t="s">
        <v>6250</v>
      </c>
      <c r="T1782" s="12"/>
      <c r="U1782" s="10" t="str">
        <f>HYPERLINK("https://pbs.twimg.com/profile_images/850722640562094080/oz-Lm4YZ.jpg","View")</f>
        <v>View</v>
      </c>
    </row>
    <row r="1783" spans="1:21" ht="40.799999999999997">
      <c r="A1783" s="6">
        <v>43423.085034722222</v>
      </c>
      <c r="B1783" s="7" t="str">
        <f>HYPERLINK("https://twitter.com/jmpugae","@jmpugae")</f>
        <v>@jmpugae</v>
      </c>
      <c r="C1783" s="8" t="s">
        <v>6251</v>
      </c>
      <c r="D1783" s="9" t="s">
        <v>6252</v>
      </c>
      <c r="E1783" s="10" t="str">
        <f>HYPERLINK("https://twitter.com/jmpugae/status/1064458875099930624","1064458875099930624")</f>
        <v>1064458875099930624</v>
      </c>
      <c r="F1783" s="11" t="s">
        <v>6253</v>
      </c>
      <c r="G1783" s="12"/>
      <c r="H1783" s="12"/>
      <c r="I1783" s="13">
        <v>1</v>
      </c>
      <c r="J1783" s="13">
        <v>2</v>
      </c>
      <c r="K1783" s="14" t="str">
        <f>HYPERLINK("http://twitter.com","Twitter Web Client")</f>
        <v>Twitter Web Client</v>
      </c>
      <c r="L1783" s="13">
        <v>1114</v>
      </c>
      <c r="M1783" s="13">
        <v>39</v>
      </c>
      <c r="N1783" s="13">
        <v>17</v>
      </c>
      <c r="O1783" s="15"/>
      <c r="P1783" s="6">
        <v>40727.189189814817</v>
      </c>
      <c r="Q1783" s="17" t="s">
        <v>29</v>
      </c>
      <c r="R1783" s="16" t="s">
        <v>6254</v>
      </c>
      <c r="S1783" s="12"/>
      <c r="T1783" s="12"/>
      <c r="U1783" s="10" t="str">
        <f>HYPERLINK("https://pbs.twimg.com/profile_images/1424731333/matasellamdo_2.jpg","View")</f>
        <v>View</v>
      </c>
    </row>
    <row r="1784" spans="1:21" ht="40.799999999999997">
      <c r="A1784" s="6">
        <v>43423.084490740745</v>
      </c>
      <c r="B1784" s="7" t="str">
        <f>HYPERLINK("https://twitter.com/AntonioAndol","@AntonioAndol")</f>
        <v>@AntonioAndol</v>
      </c>
      <c r="C1784" s="8" t="s">
        <v>2679</v>
      </c>
      <c r="D1784" s="9" t="s">
        <v>6255</v>
      </c>
      <c r="E1784" s="10" t="str">
        <f>HYPERLINK("https://twitter.com/AntonioAndol/status/1064458678949085185","1064458678949085185")</f>
        <v>1064458678949085185</v>
      </c>
      <c r="F1784" s="11" t="s">
        <v>4961</v>
      </c>
      <c r="G1784" s="12"/>
      <c r="H1784" s="12"/>
      <c r="I1784" s="13">
        <v>0</v>
      </c>
      <c r="J1784" s="13">
        <v>0</v>
      </c>
      <c r="K1784" s="14" t="str">
        <f>HYPERLINK("http://twitter.com/download/android","Twitter for Android")</f>
        <v>Twitter for Android</v>
      </c>
      <c r="L1784" s="13">
        <v>2711</v>
      </c>
      <c r="M1784" s="13">
        <v>330</v>
      </c>
      <c r="N1784" s="13">
        <v>4</v>
      </c>
      <c r="O1784" s="15"/>
      <c r="P1784" s="6">
        <v>42774.154641203699</v>
      </c>
      <c r="Q1784" s="17" t="s">
        <v>2681</v>
      </c>
      <c r="R1784" s="16" t="s">
        <v>2682</v>
      </c>
      <c r="S1784" s="12"/>
      <c r="T1784" s="12"/>
      <c r="U1784" s="10" t="str">
        <f>HYPERLINK("https://pbs.twimg.com/profile_images/1010601842940760065/t5TnWt23.jpg","View")</f>
        <v>View</v>
      </c>
    </row>
    <row r="1785" spans="1:21" ht="20.399999999999999">
      <c r="A1785" s="6">
        <v>43423.083599537036</v>
      </c>
      <c r="B1785" s="7" t="str">
        <f>HYPERLINK("https://twitter.com/KALERGIPLAN3","@KALERGIPLAN3")</f>
        <v>@KALERGIPLAN3</v>
      </c>
      <c r="C1785" s="8" t="s">
        <v>4132</v>
      </c>
      <c r="D1785" s="9" t="s">
        <v>6082</v>
      </c>
      <c r="E1785" s="10" t="str">
        <f>HYPERLINK("https://twitter.com/KALERGIPLAN3/status/1064458354641301504","1064458354641301504")</f>
        <v>1064458354641301504</v>
      </c>
      <c r="F1785" s="11" t="s">
        <v>6083</v>
      </c>
      <c r="G1785" s="12"/>
      <c r="H1785" s="12"/>
      <c r="I1785" s="13">
        <v>0</v>
      </c>
      <c r="J1785" s="13">
        <v>0</v>
      </c>
      <c r="K1785" s="14" t="str">
        <f t="shared" ref="K1785:K1786" si="329">HYPERLINK("http://twitter.com","Twitter Web Client")</f>
        <v>Twitter Web Client</v>
      </c>
      <c r="L1785" s="13">
        <v>740</v>
      </c>
      <c r="M1785" s="13">
        <v>1175</v>
      </c>
      <c r="N1785" s="13">
        <v>4</v>
      </c>
      <c r="O1785" s="15"/>
      <c r="P1785" s="6">
        <v>43126.17905092593</v>
      </c>
      <c r="Q1785" s="17" t="s">
        <v>4135</v>
      </c>
      <c r="R1785" s="16" t="s">
        <v>4136</v>
      </c>
      <c r="S1785" s="12"/>
      <c r="T1785" s="12"/>
      <c r="U1785" s="10" t="str">
        <f>HYPERLINK("https://pbs.twimg.com/profile_images/957285491707121664/UefjbD3b.jpg","View")</f>
        <v>View</v>
      </c>
    </row>
    <row r="1786" spans="1:21" ht="30.6">
      <c r="A1786" s="6">
        <v>43423.081469907411</v>
      </c>
      <c r="B1786" s="7" t="str">
        <f>HYPERLINK("https://twitter.com/RMacutoNews","@RMacutoNews")</f>
        <v>@RMacutoNews</v>
      </c>
      <c r="C1786" s="8" t="s">
        <v>3062</v>
      </c>
      <c r="D1786" s="9" t="s">
        <v>6256</v>
      </c>
      <c r="E1786" s="10" t="str">
        <f>HYPERLINK("https://twitter.com/RMacutoNews/status/1064457586081177600","1064457586081177600")</f>
        <v>1064457586081177600</v>
      </c>
      <c r="F1786" s="11" t="s">
        <v>320</v>
      </c>
      <c r="G1786" s="12"/>
      <c r="H1786" s="12"/>
      <c r="I1786" s="13">
        <v>0</v>
      </c>
      <c r="J1786" s="13">
        <v>0</v>
      </c>
      <c r="K1786" s="14" t="str">
        <f t="shared" si="329"/>
        <v>Twitter Web Client</v>
      </c>
      <c r="L1786" s="13">
        <v>191</v>
      </c>
      <c r="M1786" s="13">
        <v>311</v>
      </c>
      <c r="N1786" s="13">
        <v>1</v>
      </c>
      <c r="O1786" s="15"/>
      <c r="P1786" s="6">
        <v>42583.371585648143</v>
      </c>
      <c r="Q1786" s="17" t="s">
        <v>29</v>
      </c>
      <c r="R1786" s="16" t="s">
        <v>3065</v>
      </c>
      <c r="S1786" s="12"/>
      <c r="T1786" s="12"/>
      <c r="U1786" s="10" t="str">
        <f>HYPERLINK("https://pbs.twimg.com/profile_images/760148641482964992/fT40c5p4.jpg","View")</f>
        <v>View</v>
      </c>
    </row>
    <row r="1787" spans="1:21" ht="40.799999999999997">
      <c r="A1787" s="6">
        <v>43423.07748842593</v>
      </c>
      <c r="B1787" s="7" t="str">
        <f>HYPERLINK("https://twitter.com/franciscorubira","@franciscorubira")</f>
        <v>@franciscorubira</v>
      </c>
      <c r="C1787" s="8" t="s">
        <v>6257</v>
      </c>
      <c r="D1787" s="9" t="s">
        <v>5779</v>
      </c>
      <c r="E1787" s="10" t="str">
        <f>HYPERLINK("https://twitter.com/franciscorubira/status/1064456140442857473","1064456140442857473")</f>
        <v>1064456140442857473</v>
      </c>
      <c r="F1787" s="11" t="s">
        <v>6258</v>
      </c>
      <c r="G1787" s="11" t="s">
        <v>6259</v>
      </c>
      <c r="H1787" s="12"/>
      <c r="I1787" s="13">
        <v>0</v>
      </c>
      <c r="J1787" s="13">
        <v>0</v>
      </c>
      <c r="K1787" s="14" t="str">
        <f>HYPERLINK("https://dlvrit.com/","dlvr.it")</f>
        <v>dlvr.it</v>
      </c>
      <c r="L1787" s="13">
        <v>2434</v>
      </c>
      <c r="M1787" s="13">
        <v>465</v>
      </c>
      <c r="N1787" s="13">
        <v>43</v>
      </c>
      <c r="O1787" s="15"/>
      <c r="P1787" s="6">
        <v>39871.484317129631</v>
      </c>
      <c r="Q1787" s="17" t="s">
        <v>203</v>
      </c>
      <c r="R1787" s="16" t="s">
        <v>6260</v>
      </c>
      <c r="S1787" s="11" t="s">
        <v>6261</v>
      </c>
      <c r="T1787" s="12"/>
      <c r="U1787" s="10" t="str">
        <f>HYPERLINK("https://pbs.twimg.com/profile_images/3347587725/a033bb22fbb57ca30cfe28855cc75a4a.jpeg","View")</f>
        <v>View</v>
      </c>
    </row>
    <row r="1788" spans="1:21" ht="51">
      <c r="A1788" s="6">
        <v>43423.073067129633</v>
      </c>
      <c r="B1788" s="7" t="str">
        <f>HYPERLINK("https://twitter.com/andreajarabo","@andreajarabo")</f>
        <v>@andreajarabo</v>
      </c>
      <c r="C1788" s="8" t="s">
        <v>6262</v>
      </c>
      <c r="D1788" s="9" t="s">
        <v>6263</v>
      </c>
      <c r="E1788" s="10" t="str">
        <f>HYPERLINK("https://twitter.com/andreajarabo/status/1064454541071052800","1064454541071052800")</f>
        <v>1064454541071052800</v>
      </c>
      <c r="F1788" s="11" t="s">
        <v>5831</v>
      </c>
      <c r="G1788" s="12"/>
      <c r="H1788" s="12"/>
      <c r="I1788" s="13">
        <v>0</v>
      </c>
      <c r="J1788" s="13">
        <v>0</v>
      </c>
      <c r="K1788" s="14" t="str">
        <f>HYPERLINK("http://twitter.com/download/android","Twitter for Android")</f>
        <v>Twitter for Android</v>
      </c>
      <c r="L1788" s="13">
        <v>212</v>
      </c>
      <c r="M1788" s="13">
        <v>1179</v>
      </c>
      <c r="N1788" s="13">
        <v>2</v>
      </c>
      <c r="O1788" s="15"/>
      <c r="P1788" s="6">
        <v>40970.457280092596</v>
      </c>
      <c r="Q1788" s="17" t="s">
        <v>76</v>
      </c>
      <c r="R1788" s="16" t="s">
        <v>6264</v>
      </c>
      <c r="S1788" s="12"/>
      <c r="T1788" s="12"/>
      <c r="U1788" s="10" t="str">
        <f>HYPERLINK("https://pbs.twimg.com/profile_images/1939303302/268412_102886723140441_100002573419942_32650_5462435_n.jpg","View")</f>
        <v>View</v>
      </c>
    </row>
    <row r="1789" spans="1:21" ht="30.6">
      <c r="A1789" s="6">
        <v>43423.072326388894</v>
      </c>
      <c r="B1789" s="7" t="str">
        <f>HYPERLINK("https://twitter.com/crealdigital","@crealdigital")</f>
        <v>@crealdigital</v>
      </c>
      <c r="C1789" s="8" t="s">
        <v>6265</v>
      </c>
      <c r="D1789" s="9" t="s">
        <v>6266</v>
      </c>
      <c r="E1789" s="10" t="str">
        <f>HYPERLINK("https://twitter.com/crealdigital/status/1064454270186074112","1064454270186074112")</f>
        <v>1064454270186074112</v>
      </c>
      <c r="F1789" s="11" t="s">
        <v>6267</v>
      </c>
      <c r="G1789" s="12"/>
      <c r="H1789" s="12"/>
      <c r="I1789" s="13">
        <v>0</v>
      </c>
      <c r="J1789" s="13">
        <v>0</v>
      </c>
      <c r="K1789" s="14" t="str">
        <f t="shared" ref="K1789:K1790" si="330">HYPERLINK("http://twitter.com","Twitter Web Client")</f>
        <v>Twitter Web Client</v>
      </c>
      <c r="L1789" s="13">
        <v>3006</v>
      </c>
      <c r="M1789" s="13">
        <v>4856</v>
      </c>
      <c r="N1789" s="13">
        <v>36</v>
      </c>
      <c r="O1789" s="15"/>
      <c r="P1789" s="6">
        <v>41330.402569444443</v>
      </c>
      <c r="Q1789" s="12"/>
      <c r="R1789" s="16" t="s">
        <v>6268</v>
      </c>
      <c r="S1789" s="11" t="s">
        <v>6269</v>
      </c>
      <c r="T1789" s="12"/>
      <c r="U1789" s="10" t="str">
        <f>HYPERLINK("https://pbs.twimg.com/profile_images/672117474968666113/rQhZVp46.jpg","View")</f>
        <v>View</v>
      </c>
    </row>
    <row r="1790" spans="1:21" ht="51">
      <c r="A1790" s="6">
        <v>43423.071793981479</v>
      </c>
      <c r="B1790" s="7" t="str">
        <f>HYPERLINK("https://twitter.com/DaniCela8","@DaniCela8")</f>
        <v>@DaniCela8</v>
      </c>
      <c r="C1790" s="8" t="s">
        <v>5134</v>
      </c>
      <c r="D1790" s="9" t="s">
        <v>6270</v>
      </c>
      <c r="E1790" s="10" t="str">
        <f>HYPERLINK("https://twitter.com/DaniCela8/status/1064454076589637632","1064454076589637632")</f>
        <v>1064454076589637632</v>
      </c>
      <c r="F1790" s="11" t="s">
        <v>6271</v>
      </c>
      <c r="G1790" s="12"/>
      <c r="H1790" s="12"/>
      <c r="I1790" s="13">
        <v>4</v>
      </c>
      <c r="J1790" s="13">
        <v>6</v>
      </c>
      <c r="K1790" s="14" t="str">
        <f t="shared" si="330"/>
        <v>Twitter Web Client</v>
      </c>
      <c r="L1790" s="13">
        <v>1863</v>
      </c>
      <c r="M1790" s="13">
        <v>803</v>
      </c>
      <c r="N1790" s="13">
        <v>63</v>
      </c>
      <c r="O1790" s="15"/>
      <c r="P1790" s="6">
        <v>40937.488703703704</v>
      </c>
      <c r="Q1790" s="12"/>
      <c r="R1790" s="16" t="s">
        <v>5137</v>
      </c>
      <c r="S1790" s="12"/>
      <c r="T1790" s="12"/>
      <c r="U1790" s="10" t="str">
        <f>HYPERLINK("https://pbs.twimg.com/profile_images/915946047662444544/kH5CxzSV.jpg","View")</f>
        <v>View</v>
      </c>
    </row>
    <row r="1791" spans="1:21" ht="40.799999999999997">
      <c r="A1791" s="6">
        <v>43423.071446759262</v>
      </c>
      <c r="B1791" s="7" t="str">
        <f>HYPERLINK("https://twitter.com/PaulaGuerra_C","@PaulaGuerra_C")</f>
        <v>@PaulaGuerra_C</v>
      </c>
      <c r="C1791" s="8" t="s">
        <v>6272</v>
      </c>
      <c r="D1791" s="9" t="s">
        <v>6273</v>
      </c>
      <c r="E1791" s="10" t="str">
        <f>HYPERLINK("https://twitter.com/PaulaGuerra_C/status/1064453954422087680","1064453954422087680")</f>
        <v>1064453954422087680</v>
      </c>
      <c r="F1791" s="11" t="s">
        <v>4961</v>
      </c>
      <c r="G1791" s="12"/>
      <c r="H1791" s="12"/>
      <c r="I1791" s="13">
        <v>7</v>
      </c>
      <c r="J1791" s="13">
        <v>10</v>
      </c>
      <c r="K1791" s="14" t="str">
        <f>HYPERLINK("http://twitter.com/download/iphone","Twitter for iPhone")</f>
        <v>Twitter for iPhone</v>
      </c>
      <c r="L1791" s="13">
        <v>1862</v>
      </c>
      <c r="M1791" s="13">
        <v>997</v>
      </c>
      <c r="N1791" s="13">
        <v>26</v>
      </c>
      <c r="O1791" s="15"/>
      <c r="P1791" s="6">
        <v>40192.378078703703</v>
      </c>
      <c r="Q1791" s="17" t="s">
        <v>203</v>
      </c>
      <c r="R1791" s="16" t="s">
        <v>6274</v>
      </c>
      <c r="S1791" s="12"/>
      <c r="T1791" s="12"/>
      <c r="U1791" s="10" t="str">
        <f>HYPERLINK("https://pbs.twimg.com/profile_images/973471047449268225/d8Wp-S4B.jpg","View")</f>
        <v>View</v>
      </c>
    </row>
    <row r="1792" spans="1:21" ht="51">
      <c r="A1792" s="6">
        <v>43423.07</v>
      </c>
      <c r="B1792" s="7" t="str">
        <f>HYPERLINK("https://twitter.com/QuiricoPopurras","@QuiricoPopurras")</f>
        <v>@QuiricoPopurras</v>
      </c>
      <c r="C1792" s="8" t="s">
        <v>6275</v>
      </c>
      <c r="D1792" s="9" t="s">
        <v>6276</v>
      </c>
      <c r="E1792" s="10" t="str">
        <f>HYPERLINK("https://twitter.com/QuiricoPopurras/status/1064453428087320576","1064453428087320576")</f>
        <v>1064453428087320576</v>
      </c>
      <c r="F1792" s="12"/>
      <c r="G1792" s="11" t="s">
        <v>6277</v>
      </c>
      <c r="H1792" s="12"/>
      <c r="I1792" s="13">
        <v>2</v>
      </c>
      <c r="J1792" s="13">
        <v>3</v>
      </c>
      <c r="K1792" s="14" t="str">
        <f t="shared" ref="K1792:K1793" si="331">HYPERLINK("http://twitter.com/download/android","Twitter for Android")</f>
        <v>Twitter for Android</v>
      </c>
      <c r="L1792" s="13">
        <v>33</v>
      </c>
      <c r="M1792" s="13">
        <v>152</v>
      </c>
      <c r="N1792" s="13">
        <v>0</v>
      </c>
      <c r="O1792" s="15"/>
      <c r="P1792" s="6">
        <v>43072.535868055551</v>
      </c>
      <c r="Q1792" s="17" t="s">
        <v>6278</v>
      </c>
      <c r="R1792" s="16" t="s">
        <v>6279</v>
      </c>
      <c r="S1792" s="11" t="s">
        <v>6280</v>
      </c>
      <c r="T1792" s="12"/>
      <c r="U1792" s="10" t="str">
        <f>HYPERLINK("https://pbs.twimg.com/profile_images/937426080285319168/Isxd3T3f.jpg","View")</f>
        <v>View</v>
      </c>
    </row>
    <row r="1793" spans="1:21" ht="91.8">
      <c r="A1793" s="6">
        <v>43423.066446759258</v>
      </c>
      <c r="B1793" s="7" t="str">
        <f>HYPERLINK("https://twitter.com/RuthIliana46","@RuthIliana46")</f>
        <v>@RuthIliana46</v>
      </c>
      <c r="C1793" s="8" t="s">
        <v>662</v>
      </c>
      <c r="D1793" s="9" t="s">
        <v>6281</v>
      </c>
      <c r="E1793" s="10" t="str">
        <f>HYPERLINK("https://twitter.com/RuthIliana46/status/1064452139576107010","1064452139576107010")</f>
        <v>1064452139576107010</v>
      </c>
      <c r="F1793" s="17" t="s">
        <v>6282</v>
      </c>
      <c r="G1793" s="12"/>
      <c r="H1793" s="12"/>
      <c r="I1793" s="13">
        <v>4</v>
      </c>
      <c r="J1793" s="13">
        <v>5</v>
      </c>
      <c r="K1793" s="14" t="str">
        <f t="shared" si="331"/>
        <v>Twitter for Android</v>
      </c>
      <c r="L1793" s="13">
        <v>4287</v>
      </c>
      <c r="M1793" s="13">
        <v>4178</v>
      </c>
      <c r="N1793" s="13">
        <v>483</v>
      </c>
      <c r="O1793" s="15"/>
      <c r="P1793" s="6">
        <v>41235.42833333333</v>
      </c>
      <c r="Q1793" s="17" t="s">
        <v>203</v>
      </c>
      <c r="R1793" s="16" t="s">
        <v>665</v>
      </c>
      <c r="S1793" s="11" t="s">
        <v>666</v>
      </c>
      <c r="T1793" s="12"/>
      <c r="U1793" s="10" t="str">
        <f>HYPERLINK("https://pbs.twimg.com/profile_images/976118533162721287/GaSph7A7.jpg","View")</f>
        <v>View</v>
      </c>
    </row>
    <row r="1794" spans="1:21" ht="51">
      <c r="A1794" s="6">
        <v>43423.061435185184</v>
      </c>
      <c r="B1794" s="7" t="str">
        <f>HYPERLINK("https://twitter.com/soyelhansa1979","@soyelhansa1979")</f>
        <v>@soyelhansa1979</v>
      </c>
      <c r="C1794" s="8" t="s">
        <v>6283</v>
      </c>
      <c r="D1794" s="9" t="s">
        <v>6284</v>
      </c>
      <c r="E1794" s="10" t="str">
        <f>HYPERLINK("https://twitter.com/soyelhansa1979/status/1064450322834313216","1064450322834313216")</f>
        <v>1064450322834313216</v>
      </c>
      <c r="F1794" s="11" t="s">
        <v>6285</v>
      </c>
      <c r="G1794" s="11" t="s">
        <v>6286</v>
      </c>
      <c r="H1794" s="12"/>
      <c r="I1794" s="13">
        <v>0</v>
      </c>
      <c r="J1794" s="13">
        <v>0</v>
      </c>
      <c r="K1794" s="14" t="str">
        <f>HYPERLINK("https://buffer.com","Buffer")</f>
        <v>Buffer</v>
      </c>
      <c r="L1794" s="13">
        <v>1319</v>
      </c>
      <c r="M1794" s="13">
        <v>1592</v>
      </c>
      <c r="N1794" s="13">
        <v>124</v>
      </c>
      <c r="O1794" s="15"/>
      <c r="P1794" s="6">
        <v>39982.618460648147</v>
      </c>
      <c r="Q1794" s="17" t="s">
        <v>1751</v>
      </c>
      <c r="R1794" s="16" t="s">
        <v>6287</v>
      </c>
      <c r="S1794" s="11" t="s">
        <v>6288</v>
      </c>
      <c r="T1794" s="12"/>
      <c r="U1794" s="10" t="str">
        <f>HYPERLINK("https://pbs.twimg.com/profile_images/595334686068572161/ztG24F6Q.jpg","View")</f>
        <v>View</v>
      </c>
    </row>
    <row r="1795" spans="1:21" ht="20.399999999999999">
      <c r="A1795" s="6">
        <v>43423.061076388884</v>
      </c>
      <c r="B1795" s="7" t="str">
        <f>HYPERLINK("https://twitter.com/nonchesei","@nonchesei")</f>
        <v>@nonchesei</v>
      </c>
      <c r="C1795" s="8" t="s">
        <v>6289</v>
      </c>
      <c r="D1795" s="9" t="s">
        <v>6185</v>
      </c>
      <c r="E1795" s="10" t="str">
        <f>HYPERLINK("https://twitter.com/nonchesei/status/1064450194220220416","1064450194220220416")</f>
        <v>1064450194220220416</v>
      </c>
      <c r="F1795" s="11" t="s">
        <v>5997</v>
      </c>
      <c r="G1795" s="12"/>
      <c r="H1795" s="12"/>
      <c r="I1795" s="13">
        <v>0</v>
      </c>
      <c r="J1795" s="13">
        <v>0</v>
      </c>
      <c r="K1795" s="14" t="str">
        <f>HYPERLINK("http://twitter.com","Twitter Web Client")</f>
        <v>Twitter Web Client</v>
      </c>
      <c r="L1795" s="13">
        <v>390</v>
      </c>
      <c r="M1795" s="13">
        <v>608</v>
      </c>
      <c r="N1795" s="13">
        <v>6</v>
      </c>
      <c r="O1795" s="15"/>
      <c r="P1795" s="6">
        <v>40335.530405092592</v>
      </c>
      <c r="Q1795" s="12"/>
      <c r="R1795" s="16" t="s">
        <v>6290</v>
      </c>
      <c r="S1795" s="12"/>
      <c r="T1795" s="12"/>
      <c r="U1795" s="10" t="str">
        <f>HYPERLINK("https://pbs.twimg.com/profile_images/1189501541/mujer_bandera_negra.png","View")</f>
        <v>View</v>
      </c>
    </row>
    <row r="1796" spans="1:21" ht="30.6">
      <c r="A1796" s="6">
        <v>43423.060949074075</v>
      </c>
      <c r="B1796" s="7" t="str">
        <f>HYPERLINK("https://twitter.com/Manuel_Huerga","@Manuel_Huerga")</f>
        <v>@Manuel_Huerga</v>
      </c>
      <c r="C1796" s="8" t="s">
        <v>6291</v>
      </c>
      <c r="D1796" s="9" t="s">
        <v>6223</v>
      </c>
      <c r="E1796" s="10" t="str">
        <f>HYPERLINK("https://twitter.com/Manuel_Huerga/status/1064450147969613824","1064450147969613824")</f>
        <v>1064450147969613824</v>
      </c>
      <c r="F1796" s="11" t="s">
        <v>6224</v>
      </c>
      <c r="G1796" s="12"/>
      <c r="H1796" s="12"/>
      <c r="I1796" s="13">
        <v>1</v>
      </c>
      <c r="J1796" s="13">
        <v>0</v>
      </c>
      <c r="K1796" s="14" t="str">
        <f>HYPERLINK("http://www.facebook.com/twitter","Facebook")</f>
        <v>Facebook</v>
      </c>
      <c r="L1796" s="13">
        <v>5225</v>
      </c>
      <c r="M1796" s="13">
        <v>2135</v>
      </c>
      <c r="N1796" s="13">
        <v>108</v>
      </c>
      <c r="O1796" s="15"/>
      <c r="P1796" s="6">
        <v>40244.160763888889</v>
      </c>
      <c r="Q1796" s="17" t="s">
        <v>6292</v>
      </c>
      <c r="R1796" s="16" t="s">
        <v>6293</v>
      </c>
      <c r="S1796" s="11" t="s">
        <v>6294</v>
      </c>
      <c r="T1796" s="12"/>
      <c r="U1796" s="10" t="str">
        <f>HYPERLINK("https://pbs.twimg.com/profile_images/1669966433/IMG_0705.JPG","View")</f>
        <v>View</v>
      </c>
    </row>
    <row r="1797" spans="1:21" ht="40.799999999999997">
      <c r="A1797" s="6">
        <v>43423.058171296296</v>
      </c>
      <c r="B1797" s="7" t="str">
        <f>HYPERLINK("https://twitter.com/luciablagar","@luciablagar")</f>
        <v>@luciablagar</v>
      </c>
      <c r="C1797" s="8" t="s">
        <v>6295</v>
      </c>
      <c r="D1797" s="9" t="s">
        <v>6296</v>
      </c>
      <c r="E1797" s="10" t="str">
        <f>HYPERLINK("https://twitter.com/luciablagar/status/1064449141403725824","1064449141403725824")</f>
        <v>1064449141403725824</v>
      </c>
      <c r="F1797" s="11" t="s">
        <v>6297</v>
      </c>
      <c r="G1797" s="12"/>
      <c r="H1797" s="12"/>
      <c r="I1797" s="13">
        <v>0</v>
      </c>
      <c r="J1797" s="13">
        <v>1</v>
      </c>
      <c r="K1797" s="14" t="str">
        <f>HYPERLINK("http://twitter.com/download/android","Twitter for Android")</f>
        <v>Twitter for Android</v>
      </c>
      <c r="L1797" s="13">
        <v>2775</v>
      </c>
      <c r="M1797" s="13">
        <v>1471</v>
      </c>
      <c r="N1797" s="13">
        <v>37</v>
      </c>
      <c r="O1797" s="15"/>
      <c r="P1797" s="6">
        <v>40570.287523148145</v>
      </c>
      <c r="Q1797" s="17" t="s">
        <v>6298</v>
      </c>
      <c r="R1797" s="16" t="s">
        <v>6299</v>
      </c>
      <c r="S1797" s="11" t="s">
        <v>6300</v>
      </c>
      <c r="T1797" s="12"/>
      <c r="U1797" s="10" t="str">
        <f>HYPERLINK("https://pbs.twimg.com/profile_images/896480498049892352/DgEm8pLm.jpg","View")</f>
        <v>View</v>
      </c>
    </row>
    <row r="1798" spans="1:21" ht="40.799999999999997">
      <c r="A1798" s="6">
        <v>43423.058055555557</v>
      </c>
      <c r="B1798" s="7" t="str">
        <f>HYPERLINK("https://twitter.com/juansantiso","@juansantiso")</f>
        <v>@juansantiso</v>
      </c>
      <c r="C1798" s="8" t="s">
        <v>385</v>
      </c>
      <c r="D1798" s="9" t="s">
        <v>6301</v>
      </c>
      <c r="E1798" s="10" t="str">
        <f>HYPERLINK("https://twitter.com/juansantiso/status/1064449099288711168","1064449099288711168")</f>
        <v>1064449099288711168</v>
      </c>
      <c r="F1798" s="11" t="s">
        <v>5997</v>
      </c>
      <c r="G1798" s="12"/>
      <c r="H1798" s="12"/>
      <c r="I1798" s="13">
        <v>0</v>
      </c>
      <c r="J1798" s="13">
        <v>0</v>
      </c>
      <c r="K1798" s="14" t="str">
        <f>HYPERLINK("http://www.facebook.com/twitter","Facebook")</f>
        <v>Facebook</v>
      </c>
      <c r="L1798" s="13">
        <v>1782</v>
      </c>
      <c r="M1798" s="13">
        <v>2932</v>
      </c>
      <c r="N1798" s="13">
        <v>61</v>
      </c>
      <c r="O1798" s="15"/>
      <c r="P1798" s="6">
        <v>40792.641388888893</v>
      </c>
      <c r="Q1798" s="17" t="s">
        <v>392</v>
      </c>
      <c r="R1798" s="16" t="s">
        <v>393</v>
      </c>
      <c r="S1798" s="11" t="s">
        <v>394</v>
      </c>
      <c r="T1798" s="12"/>
      <c r="U1798" s="10" t="str">
        <f>HYPERLINK("https://pbs.twimg.com/profile_images/983668180848701443/IF4Y7rRA.jpg","View")</f>
        <v>View</v>
      </c>
    </row>
    <row r="1799" spans="1:21" ht="51">
      <c r="A1799" s="6">
        <v>43423.056805555556</v>
      </c>
      <c r="B1799" s="7" t="str">
        <f>HYPERLINK("https://twitter.com/luciablagar","@luciablagar")</f>
        <v>@luciablagar</v>
      </c>
      <c r="C1799" s="8" t="s">
        <v>6295</v>
      </c>
      <c r="D1799" s="9" t="s">
        <v>6302</v>
      </c>
      <c r="E1799" s="10" t="str">
        <f>HYPERLINK("https://twitter.com/luciablagar/status/1064448646433902592","1064448646433902592")</f>
        <v>1064448646433902592</v>
      </c>
      <c r="F1799" s="11" t="s">
        <v>6297</v>
      </c>
      <c r="G1799" s="12"/>
      <c r="H1799" s="12"/>
      <c r="I1799" s="13">
        <v>1</v>
      </c>
      <c r="J1799" s="13">
        <v>1</v>
      </c>
      <c r="K1799" s="14" t="str">
        <f>HYPERLINK("http://twitter.com/download/android","Twitter for Android")</f>
        <v>Twitter for Android</v>
      </c>
      <c r="L1799" s="13">
        <v>2775</v>
      </c>
      <c r="M1799" s="13">
        <v>1471</v>
      </c>
      <c r="N1799" s="13">
        <v>37</v>
      </c>
      <c r="O1799" s="15"/>
      <c r="P1799" s="6">
        <v>40570.287523148145</v>
      </c>
      <c r="Q1799" s="17" t="s">
        <v>6298</v>
      </c>
      <c r="R1799" s="16" t="s">
        <v>6299</v>
      </c>
      <c r="S1799" s="11" t="s">
        <v>6300</v>
      </c>
      <c r="T1799" s="12"/>
      <c r="U1799" s="10" t="str">
        <f>HYPERLINK("https://pbs.twimg.com/profile_images/896480498049892352/DgEm8pLm.jpg","View")</f>
        <v>View</v>
      </c>
    </row>
    <row r="1800" spans="1:21" ht="40.799999999999997">
      <c r="A1800" s="6">
        <v>43423.054560185185</v>
      </c>
      <c r="B1800" s="7" t="str">
        <f>HYPERLINK("https://twitter.com/Jordi_Armadans","@Jordi_Armadans")</f>
        <v>@Jordi_Armadans</v>
      </c>
      <c r="C1800" s="8" t="s">
        <v>6303</v>
      </c>
      <c r="D1800" s="9" t="s">
        <v>6304</v>
      </c>
      <c r="E1800" s="10" t="str">
        <f>HYPERLINK("https://twitter.com/Jordi_Armadans/status/1064447834013995009","1064447834013995009")</f>
        <v>1064447834013995009</v>
      </c>
      <c r="F1800" s="11" t="s">
        <v>5087</v>
      </c>
      <c r="G1800" s="12"/>
      <c r="H1800" s="12"/>
      <c r="I1800" s="13">
        <v>4</v>
      </c>
      <c r="J1800" s="13">
        <v>3</v>
      </c>
      <c r="K1800" s="14" t="str">
        <f t="shared" ref="K1800:K1801" si="332">HYPERLINK("http://twitter.com","Twitter Web Client")</f>
        <v>Twitter Web Client</v>
      </c>
      <c r="L1800" s="13">
        <v>9998</v>
      </c>
      <c r="M1800" s="13">
        <v>1075</v>
      </c>
      <c r="N1800" s="13">
        <v>211</v>
      </c>
      <c r="O1800" s="15"/>
      <c r="P1800" s="6">
        <v>40433.37605324074</v>
      </c>
      <c r="Q1800" s="17" t="s">
        <v>187</v>
      </c>
      <c r="R1800" s="16" t="s">
        <v>6305</v>
      </c>
      <c r="S1800" s="11" t="s">
        <v>6306</v>
      </c>
      <c r="T1800" s="12"/>
      <c r="U1800" s="10" t="str">
        <f>HYPERLINK("https://pbs.twimg.com/profile_images/731179051302461441/DS0Zu-YM.jpg","View")</f>
        <v>View</v>
      </c>
    </row>
    <row r="1801" spans="1:21" ht="20.399999999999999">
      <c r="A1801" s="6">
        <v>43423.053796296299</v>
      </c>
      <c r="B1801" s="7" t="str">
        <f>HYPERLINK("https://twitter.com/sinvinci","@sinvinci")</f>
        <v>@sinvinci</v>
      </c>
      <c r="C1801" s="8" t="s">
        <v>6307</v>
      </c>
      <c r="D1801" s="9" t="s">
        <v>6308</v>
      </c>
      <c r="E1801" s="10" t="str">
        <f>HYPERLINK("https://twitter.com/sinvinci/status/1064447556678225920","1064447556678225920")</f>
        <v>1064447556678225920</v>
      </c>
      <c r="F1801" s="11" t="s">
        <v>6309</v>
      </c>
      <c r="G1801" s="12"/>
      <c r="H1801" s="12"/>
      <c r="I1801" s="13">
        <v>0</v>
      </c>
      <c r="J1801" s="13">
        <v>0</v>
      </c>
      <c r="K1801" s="14" t="str">
        <f t="shared" si="332"/>
        <v>Twitter Web Client</v>
      </c>
      <c r="L1801" s="13">
        <v>1091</v>
      </c>
      <c r="M1801" s="13">
        <v>1949</v>
      </c>
      <c r="N1801" s="13">
        <v>11</v>
      </c>
      <c r="O1801" s="15"/>
      <c r="P1801" s="6">
        <v>41846.268750000003</v>
      </c>
      <c r="Q1801" s="17" t="s">
        <v>76</v>
      </c>
      <c r="R1801" s="16" t="s">
        <v>6310</v>
      </c>
      <c r="S1801" s="12"/>
      <c r="T1801" s="12"/>
      <c r="U1801" s="10" t="str">
        <f>HYPERLINK("https://pbs.twimg.com/profile_images/546239848479080450/t08gPOez.jpeg","View")</f>
        <v>View</v>
      </c>
    </row>
    <row r="1802" spans="1:21" ht="30.6">
      <c r="A1802" s="6">
        <v>43423.053159722222</v>
      </c>
      <c r="B1802" s="7" t="str">
        <f>HYPERLINK("https://twitter.com/JaimeEspinar","@JaimeEspinar")</f>
        <v>@JaimeEspinar</v>
      </c>
      <c r="C1802" s="8" t="s">
        <v>6311</v>
      </c>
      <c r="D1802" s="9" t="s">
        <v>6312</v>
      </c>
      <c r="E1802" s="10" t="str">
        <f>HYPERLINK("https://twitter.com/JaimeEspinar/status/1064447325207228416","1064447325207228416")</f>
        <v>1064447325207228416</v>
      </c>
      <c r="F1802" s="11" t="s">
        <v>6313</v>
      </c>
      <c r="G1802" s="12"/>
      <c r="H1802" s="12"/>
      <c r="I1802" s="13">
        <v>0</v>
      </c>
      <c r="J1802" s="13">
        <v>1</v>
      </c>
      <c r="K1802" s="14" t="str">
        <f>HYPERLINK("http://twitter.com/download/iphone","Twitter for iPhone")</f>
        <v>Twitter for iPhone</v>
      </c>
      <c r="L1802" s="13">
        <v>3649</v>
      </c>
      <c r="M1802" s="13">
        <v>2542</v>
      </c>
      <c r="N1802" s="13">
        <v>55</v>
      </c>
      <c r="O1802" s="15"/>
      <c r="P1802" s="6">
        <v>40693.299699074072</v>
      </c>
      <c r="Q1802" s="17" t="s">
        <v>2123</v>
      </c>
      <c r="R1802" s="16" t="s">
        <v>6314</v>
      </c>
      <c r="S1802" s="12"/>
      <c r="T1802" s="12"/>
      <c r="U1802" s="10" t="str">
        <f>HYPERLINK("https://pbs.twimg.com/profile_images/1047932431423221760/pOO1GX9L.jpg","View")</f>
        <v>View</v>
      </c>
    </row>
    <row r="1803" spans="1:21" ht="20.399999999999999">
      <c r="A1803" s="6">
        <v>43423.053020833337</v>
      </c>
      <c r="B1803" s="7" t="str">
        <f>HYPERLINK("https://twitter.com/sinvinci","@sinvinci")</f>
        <v>@sinvinci</v>
      </c>
      <c r="C1803" s="8" t="s">
        <v>6307</v>
      </c>
      <c r="D1803" s="9" t="s">
        <v>6315</v>
      </c>
      <c r="E1803" s="10" t="str">
        <f>HYPERLINK("https://twitter.com/sinvinci/status/1064447273067778048","1064447273067778048")</f>
        <v>1064447273067778048</v>
      </c>
      <c r="F1803" s="11" t="s">
        <v>6316</v>
      </c>
      <c r="G1803" s="12"/>
      <c r="H1803" s="12"/>
      <c r="I1803" s="13">
        <v>0</v>
      </c>
      <c r="J1803" s="13">
        <v>0</v>
      </c>
      <c r="K1803" s="14" t="str">
        <f t="shared" ref="K1803:K1804" si="333">HYPERLINK("http://twitter.com","Twitter Web Client")</f>
        <v>Twitter Web Client</v>
      </c>
      <c r="L1803" s="13">
        <v>1091</v>
      </c>
      <c r="M1803" s="13">
        <v>1949</v>
      </c>
      <c r="N1803" s="13">
        <v>11</v>
      </c>
      <c r="O1803" s="15"/>
      <c r="P1803" s="6">
        <v>41846.268750000003</v>
      </c>
      <c r="Q1803" s="17" t="s">
        <v>76</v>
      </c>
      <c r="R1803" s="16" t="s">
        <v>6310</v>
      </c>
      <c r="S1803" s="12"/>
      <c r="T1803" s="12"/>
      <c r="U1803" s="10" t="str">
        <f>HYPERLINK("https://pbs.twimg.com/profile_images/546239848479080450/t08gPOez.jpeg","View")</f>
        <v>View</v>
      </c>
    </row>
    <row r="1804" spans="1:21" ht="40.799999999999997">
      <c r="A1804" s="6">
        <v>43423.051828703705</v>
      </c>
      <c r="B1804" s="7" t="str">
        <f>HYPERLINK("https://twitter.com/juan_mesia","@juan_mesia")</f>
        <v>@juan_mesia</v>
      </c>
      <c r="C1804" s="8" t="s">
        <v>6317</v>
      </c>
      <c r="D1804" s="9" t="s">
        <v>4053</v>
      </c>
      <c r="E1804" s="10" t="str">
        <f>HYPERLINK("https://twitter.com/juan_mesia/status/1064446844426686464","1064446844426686464")</f>
        <v>1064446844426686464</v>
      </c>
      <c r="F1804" s="11" t="s">
        <v>4018</v>
      </c>
      <c r="G1804" s="12"/>
      <c r="H1804" s="12"/>
      <c r="I1804" s="13">
        <v>6</v>
      </c>
      <c r="J1804" s="13">
        <v>1</v>
      </c>
      <c r="K1804" s="14" t="str">
        <f t="shared" si="333"/>
        <v>Twitter Web Client</v>
      </c>
      <c r="L1804" s="13">
        <v>5853</v>
      </c>
      <c r="M1804" s="13">
        <v>4567</v>
      </c>
      <c r="N1804" s="13">
        <v>69</v>
      </c>
      <c r="O1804" s="15"/>
      <c r="P1804" s="6">
        <v>41129.472314814819</v>
      </c>
      <c r="Q1804" s="17" t="s">
        <v>118</v>
      </c>
      <c r="R1804" s="16" t="s">
        <v>6318</v>
      </c>
      <c r="S1804" s="12"/>
      <c r="T1804" s="12"/>
      <c r="U1804" s="10" t="str">
        <f>HYPERLINK("https://pbs.twimg.com/profile_images/378800000289523774/86581f51288d7206d5fcb0cf2cbe5eac.jpeg","View")</f>
        <v>View</v>
      </c>
    </row>
    <row r="1805" spans="1:21" ht="30.6">
      <c r="A1805" s="6">
        <v>43423.051574074074</v>
      </c>
      <c r="B1805" s="7" t="str">
        <f>HYPERLINK("https://twitter.com/NConcostrina","@NConcostrina")</f>
        <v>@NConcostrina</v>
      </c>
      <c r="C1805" s="8" t="s">
        <v>6319</v>
      </c>
      <c r="D1805" s="9" t="s">
        <v>6320</v>
      </c>
      <c r="E1805" s="10" t="str">
        <f>HYPERLINK("https://twitter.com/NConcostrina/status/1064446752672153601","1064446752672153601")</f>
        <v>1064446752672153601</v>
      </c>
      <c r="F1805" s="11" t="s">
        <v>4961</v>
      </c>
      <c r="G1805" s="12"/>
      <c r="H1805" s="12"/>
      <c r="I1805" s="13">
        <v>290</v>
      </c>
      <c r="J1805" s="13">
        <v>753</v>
      </c>
      <c r="K1805" s="14" t="str">
        <f t="shared" ref="K1805:K1806" si="334">HYPERLINK("http://twitter.com/download/iphone","Twitter for iPhone")</f>
        <v>Twitter for iPhone</v>
      </c>
      <c r="L1805" s="13">
        <v>54883</v>
      </c>
      <c r="M1805" s="13">
        <v>879</v>
      </c>
      <c r="N1805" s="13">
        <v>683</v>
      </c>
      <c r="O1805" s="19" t="s">
        <v>74</v>
      </c>
      <c r="P1805" s="6">
        <v>40837.474606481483</v>
      </c>
      <c r="Q1805" s="17" t="s">
        <v>76</v>
      </c>
      <c r="R1805" s="16" t="s">
        <v>6321</v>
      </c>
      <c r="S1805" s="11" t="s">
        <v>6322</v>
      </c>
      <c r="T1805" s="12"/>
      <c r="U1805" s="10" t="str">
        <f>HYPERLINK("https://pbs.twimg.com/profile_images/971893333772636160/r-rDS78_.jpg","View")</f>
        <v>View</v>
      </c>
    </row>
    <row r="1806" spans="1:21" ht="51">
      <c r="A1806" s="6">
        <v>43423.04550925926</v>
      </c>
      <c r="B1806" s="7" t="str">
        <f>HYPERLINK("https://twitter.com/RocioMorla_","@RocioMorla_")</f>
        <v>@RocioMorla_</v>
      </c>
      <c r="C1806" s="8" t="s">
        <v>6323</v>
      </c>
      <c r="D1806" s="9" t="s">
        <v>6324</v>
      </c>
      <c r="E1806" s="10" t="str">
        <f>HYPERLINK("https://twitter.com/RocioMorla_/status/1064444552747061248","1064444552747061248")</f>
        <v>1064444552747061248</v>
      </c>
      <c r="F1806" s="12"/>
      <c r="G1806" s="11" t="s">
        <v>6325</v>
      </c>
      <c r="H1806" s="12"/>
      <c r="I1806" s="13">
        <v>9</v>
      </c>
      <c r="J1806" s="13">
        <v>18</v>
      </c>
      <c r="K1806" s="14" t="str">
        <f t="shared" si="334"/>
        <v>Twitter for iPhone</v>
      </c>
      <c r="L1806" s="13">
        <v>1284</v>
      </c>
      <c r="M1806" s="13">
        <v>393</v>
      </c>
      <c r="N1806" s="13">
        <v>14</v>
      </c>
      <c r="O1806" s="15"/>
      <c r="P1806" s="6">
        <v>42057.565451388888</v>
      </c>
      <c r="Q1806" s="17" t="s">
        <v>6326</v>
      </c>
      <c r="R1806" s="16" t="s">
        <v>6327</v>
      </c>
      <c r="S1806" s="11" t="s">
        <v>6328</v>
      </c>
      <c r="T1806" s="12"/>
      <c r="U1806" s="10" t="str">
        <f>HYPERLINK("https://pbs.twimg.com/profile_images/1054887751240310784/ZGufUlQ_.jpg","View")</f>
        <v>View</v>
      </c>
    </row>
    <row r="1807" spans="1:21" ht="40.799999999999997">
      <c r="A1807" s="6">
        <v>43423.043599537035</v>
      </c>
      <c r="B1807" s="7" t="str">
        <f>HYPERLINK("https://twitter.com/NereaIzquierdo2","@NereaIzquierdo2")</f>
        <v>@NereaIzquierdo2</v>
      </c>
      <c r="C1807" s="8" t="s">
        <v>6329</v>
      </c>
      <c r="D1807" s="9" t="s">
        <v>6330</v>
      </c>
      <c r="E1807" s="10" t="str">
        <f>HYPERLINK("https://twitter.com/NereaIzquierdo2/status/1064443862872137733","1064443862872137733")</f>
        <v>1064443862872137733</v>
      </c>
      <c r="F1807" s="12"/>
      <c r="G1807" s="12"/>
      <c r="H1807" s="12"/>
      <c r="I1807" s="13">
        <v>0</v>
      </c>
      <c r="J1807" s="13">
        <v>0</v>
      </c>
      <c r="K1807" s="14" t="str">
        <f t="shared" ref="K1807:K1808" si="335">HYPERLINK("http://twitter.com/download/android","Twitter for Android")</f>
        <v>Twitter for Android</v>
      </c>
      <c r="L1807" s="13">
        <v>390</v>
      </c>
      <c r="M1807" s="13">
        <v>465</v>
      </c>
      <c r="N1807" s="13">
        <v>5</v>
      </c>
      <c r="O1807" s="15"/>
      <c r="P1807" s="6">
        <v>40958.641921296294</v>
      </c>
      <c r="Q1807" s="12"/>
      <c r="R1807" s="16" t="s">
        <v>6331</v>
      </c>
      <c r="S1807" s="12"/>
      <c r="T1807" s="12"/>
      <c r="U1807" s="10" t="str">
        <f>HYPERLINK("https://pbs.twimg.com/profile_images/967856709187330048/zkObpb7B.jpg","View")</f>
        <v>View</v>
      </c>
    </row>
    <row r="1808" spans="1:21" ht="51">
      <c r="A1808" s="6">
        <v>43423.042083333334</v>
      </c>
      <c r="B1808" s="7" t="str">
        <f>HYPERLINK("https://twitter.com/AntGainos","@AntGainos")</f>
        <v>@AntGainos</v>
      </c>
      <c r="C1808" s="8" t="s">
        <v>3005</v>
      </c>
      <c r="D1808" s="9" t="s">
        <v>6332</v>
      </c>
      <c r="E1808" s="10" t="str">
        <f>HYPERLINK("https://twitter.com/AntGainos/status/1064443310440415232","1064443310440415232")</f>
        <v>1064443310440415232</v>
      </c>
      <c r="F1808" s="12"/>
      <c r="G1808" s="12"/>
      <c r="H1808" s="12"/>
      <c r="I1808" s="13">
        <v>1</v>
      </c>
      <c r="J1808" s="13">
        <v>2</v>
      </c>
      <c r="K1808" s="14" t="str">
        <f t="shared" si="335"/>
        <v>Twitter for Android</v>
      </c>
      <c r="L1808" s="13">
        <v>547</v>
      </c>
      <c r="M1808" s="13">
        <v>553</v>
      </c>
      <c r="N1808" s="13">
        <v>9</v>
      </c>
      <c r="O1808" s="15"/>
      <c r="P1808" s="6">
        <v>40643.471689814818</v>
      </c>
      <c r="Q1808" s="17" t="s">
        <v>2270</v>
      </c>
      <c r="R1808" s="18"/>
      <c r="S1808" s="12"/>
      <c r="T1808" s="12"/>
      <c r="U1808" s="10" t="str">
        <f>HYPERLINK("https://pbs.twimg.com/profile_images/1034402549011542016/iBP_Fz3r.jpg","View")</f>
        <v>View</v>
      </c>
    </row>
    <row r="1809" spans="1:21" ht="40.799999999999997">
      <c r="A1809" s="6">
        <v>43423.041689814811</v>
      </c>
      <c r="B1809" s="7" t="str">
        <f>HYPERLINK("https://twitter.com/beamarcote","@beamarcote")</f>
        <v>@beamarcote</v>
      </c>
      <c r="C1809" s="8" t="s">
        <v>6333</v>
      </c>
      <c r="D1809" s="9" t="s">
        <v>6334</v>
      </c>
      <c r="E1809" s="10" t="str">
        <f>HYPERLINK("https://twitter.com/beamarcote/status/1064443167301402625","1064443167301402625")</f>
        <v>1064443167301402625</v>
      </c>
      <c r="F1809" s="11" t="s">
        <v>6335</v>
      </c>
      <c r="G1809" s="11" t="s">
        <v>6336</v>
      </c>
      <c r="H1809" s="12"/>
      <c r="I1809" s="13">
        <v>0</v>
      </c>
      <c r="J1809" s="13">
        <v>0</v>
      </c>
      <c r="K1809" s="14" t="str">
        <f>HYPERLINK("https://buffer.com","Buffer")</f>
        <v>Buffer</v>
      </c>
      <c r="L1809" s="13">
        <v>704</v>
      </c>
      <c r="M1809" s="13">
        <v>335</v>
      </c>
      <c r="N1809" s="13">
        <v>12</v>
      </c>
      <c r="O1809" s="15"/>
      <c r="P1809" s="6">
        <v>41776.483993055554</v>
      </c>
      <c r="Q1809" s="17" t="s">
        <v>87</v>
      </c>
      <c r="R1809" s="16" t="s">
        <v>6337</v>
      </c>
      <c r="S1809" s="12"/>
      <c r="T1809" s="12"/>
      <c r="U1809" s="10" t="str">
        <f>HYPERLINK("https://pbs.twimg.com/profile_images/1027512174628032512/inVehl5B.jpg","View")</f>
        <v>View</v>
      </c>
    </row>
    <row r="1810" spans="1:21" ht="30.6">
      <c r="A1810" s="6">
        <v>43423.041666666672</v>
      </c>
      <c r="B1810" s="7" t="str">
        <f>HYPERLINK("https://twitter.com/La_SER","@La_SER")</f>
        <v>@La_SER</v>
      </c>
      <c r="C1810" s="8" t="s">
        <v>2170</v>
      </c>
      <c r="D1810" s="9" t="s">
        <v>6338</v>
      </c>
      <c r="E1810" s="10" t="str">
        <f>HYPERLINK("https://twitter.com/La_SER/status/1064443161496481792","1064443161496481792")</f>
        <v>1064443161496481792</v>
      </c>
      <c r="F1810" s="11" t="s">
        <v>6339</v>
      </c>
      <c r="G1810" s="12"/>
      <c r="H1810" s="12"/>
      <c r="I1810" s="13">
        <v>3</v>
      </c>
      <c r="J1810" s="13">
        <v>5</v>
      </c>
      <c r="K1810" s="14" t="str">
        <f>HYPERLINK("https://about.twitter.com/products/tweetdeck","TweetDeck")</f>
        <v>TweetDeck</v>
      </c>
      <c r="L1810" s="13">
        <v>1152495</v>
      </c>
      <c r="M1810" s="13">
        <v>778</v>
      </c>
      <c r="N1810" s="13">
        <v>10623</v>
      </c>
      <c r="O1810" s="19" t="s">
        <v>74</v>
      </c>
      <c r="P1810" s="6">
        <v>39965.379942129628</v>
      </c>
      <c r="Q1810" s="12"/>
      <c r="R1810" s="16" t="s">
        <v>2173</v>
      </c>
      <c r="S1810" s="11" t="s">
        <v>2174</v>
      </c>
      <c r="T1810" s="12"/>
      <c r="U1810" s="10" t="str">
        <f>HYPERLINK("https://pbs.twimg.com/profile_images/1039929065774481409/zsYMDMZj.jpg","View")</f>
        <v>View</v>
      </c>
    </row>
    <row r="1811" spans="1:21" ht="30.6">
      <c r="A1811" s="6">
        <v>43423.041319444441</v>
      </c>
      <c r="B1811" s="7" t="str">
        <f>HYPERLINK("https://twitter.com/rostauro","@rostauro")</f>
        <v>@rostauro</v>
      </c>
      <c r="C1811" s="8" t="s">
        <v>6340</v>
      </c>
      <c r="D1811" s="9" t="s">
        <v>1749</v>
      </c>
      <c r="E1811" s="10" t="str">
        <f>HYPERLINK("https://twitter.com/rostauro/status/1064443034555871232","1064443034555871232")</f>
        <v>1064443034555871232</v>
      </c>
      <c r="F1811" s="11" t="s">
        <v>2767</v>
      </c>
      <c r="G1811" s="12"/>
      <c r="H1811" s="12"/>
      <c r="I1811" s="13">
        <v>2</v>
      </c>
      <c r="J1811" s="13">
        <v>1</v>
      </c>
      <c r="K1811" s="14" t="str">
        <f>HYPERLINK("http://twitter.com","Twitter Web Client")</f>
        <v>Twitter Web Client</v>
      </c>
      <c r="L1811" s="13">
        <v>871</v>
      </c>
      <c r="M1811" s="13">
        <v>1738</v>
      </c>
      <c r="N1811" s="13">
        <v>21</v>
      </c>
      <c r="O1811" s="15"/>
      <c r="P1811" s="6">
        <v>40585.422939814816</v>
      </c>
      <c r="Q1811" s="17" t="s">
        <v>29</v>
      </c>
      <c r="R1811" s="16" t="s">
        <v>6341</v>
      </c>
      <c r="S1811" s="11" t="s">
        <v>6342</v>
      </c>
      <c r="T1811" s="12"/>
      <c r="U1811" s="10" t="str">
        <f>HYPERLINK("https://pbs.twimg.com/profile_images/1241412333/7-imagenes-gardenia-g.jpg","View")</f>
        <v>View</v>
      </c>
    </row>
    <row r="1812" spans="1:21" ht="40.799999999999997">
      <c r="A1812" s="6">
        <v>43423.036481481482</v>
      </c>
      <c r="B1812" s="7" t="str">
        <f>HYPERLINK("https://twitter.com/paco229","@paco229")</f>
        <v>@paco229</v>
      </c>
      <c r="C1812" s="8" t="s">
        <v>6343</v>
      </c>
      <c r="D1812" s="9" t="s">
        <v>3900</v>
      </c>
      <c r="E1812" s="10" t="str">
        <f>HYPERLINK("https://twitter.com/paco229/status/1064441282070753280","1064441282070753280")</f>
        <v>1064441282070753280</v>
      </c>
      <c r="F1812" s="11" t="s">
        <v>320</v>
      </c>
      <c r="G1812" s="12"/>
      <c r="H1812" s="12"/>
      <c r="I1812" s="13">
        <v>2</v>
      </c>
      <c r="J1812" s="13">
        <v>0</v>
      </c>
      <c r="K1812" s="14" t="str">
        <f>HYPERLINK("http://twitter.com/download/android","Twitter for Android")</f>
        <v>Twitter for Android</v>
      </c>
      <c r="L1812" s="13">
        <v>5062</v>
      </c>
      <c r="M1812" s="13">
        <v>5384</v>
      </c>
      <c r="N1812" s="13">
        <v>400</v>
      </c>
      <c r="O1812" s="15"/>
      <c r="P1812" s="6">
        <v>40150.085081018522</v>
      </c>
      <c r="Q1812" s="17" t="s">
        <v>6344</v>
      </c>
      <c r="R1812" s="16" t="s">
        <v>6345</v>
      </c>
      <c r="S1812" s="11" t="s">
        <v>6346</v>
      </c>
      <c r="T1812" s="12"/>
      <c r="U1812" s="10" t="str">
        <f>HYPERLINK("https://pbs.twimg.com/profile_images/748145658742308864/TXaCeMD0.jpg","View")</f>
        <v>View</v>
      </c>
    </row>
    <row r="1813" spans="1:21" ht="51">
      <c r="A1813" s="6">
        <v>43423.035671296297</v>
      </c>
      <c r="B1813" s="7" t="str">
        <f>HYPERLINK("https://twitter.com/Marc_Duran","@Marc_Duran")</f>
        <v>@Marc_Duran</v>
      </c>
      <c r="C1813" s="8" t="s">
        <v>6347</v>
      </c>
      <c r="D1813" s="9" t="s">
        <v>6348</v>
      </c>
      <c r="E1813" s="10" t="str">
        <f>HYPERLINK("https://twitter.com/Marc_Duran/status/1064440987613913088","1064440987613913088")</f>
        <v>1064440987613913088</v>
      </c>
      <c r="F1813" s="12"/>
      <c r="G1813" s="12"/>
      <c r="H1813" s="12"/>
      <c r="I1813" s="13">
        <v>0</v>
      </c>
      <c r="J1813" s="13">
        <v>1</v>
      </c>
      <c r="K1813" s="14" t="str">
        <f>HYPERLINK("http://twitter.com/download/iphone","Twitter for iPhone")</f>
        <v>Twitter for iPhone</v>
      </c>
      <c r="L1813" s="13">
        <v>145</v>
      </c>
      <c r="M1813" s="13">
        <v>1104</v>
      </c>
      <c r="N1813" s="13">
        <v>0</v>
      </c>
      <c r="O1813" s="15"/>
      <c r="P1813" s="6">
        <v>40510.536377314813</v>
      </c>
      <c r="Q1813" s="17" t="s">
        <v>419</v>
      </c>
      <c r="R1813" s="16" t="s">
        <v>6349</v>
      </c>
      <c r="S1813" s="12"/>
      <c r="T1813" s="12"/>
      <c r="U1813" s="10" t="str">
        <f>HYPERLINK("https://pbs.twimg.com/profile_images/946395225609601025/Zm0eD_A4.jpg","View")</f>
        <v>View</v>
      </c>
    </row>
    <row r="1814" spans="1:21" ht="51">
      <c r="A1814" s="6">
        <v>43423.033645833333</v>
      </c>
      <c r="B1814" s="7" t="str">
        <f>HYPERLINK("https://twitter.com/VdeRuben","@VdeRuben")</f>
        <v>@VdeRuben</v>
      </c>
      <c r="C1814" s="8" t="s">
        <v>838</v>
      </c>
      <c r="D1814" s="9" t="s">
        <v>6350</v>
      </c>
      <c r="E1814" s="10" t="str">
        <f>HYPERLINK("https://twitter.com/VdeRuben/status/1064440251739971584","1064440251739971584")</f>
        <v>1064440251739971584</v>
      </c>
      <c r="F1814" s="17" t="s">
        <v>6351</v>
      </c>
      <c r="G1814" s="12"/>
      <c r="H1814" s="12"/>
      <c r="I1814" s="13">
        <v>0</v>
      </c>
      <c r="J1814" s="13">
        <v>1</v>
      </c>
      <c r="K1814" s="14" t="str">
        <f>HYPERLINK("http://twitter.com/download/android","Twitter for Android")</f>
        <v>Twitter for Android</v>
      </c>
      <c r="L1814" s="13">
        <v>2082</v>
      </c>
      <c r="M1814" s="13">
        <v>605</v>
      </c>
      <c r="N1814" s="13">
        <v>34</v>
      </c>
      <c r="O1814" s="15"/>
      <c r="P1814" s="6">
        <v>41044.057314814811</v>
      </c>
      <c r="Q1814" s="17" t="s">
        <v>841</v>
      </c>
      <c r="R1814" s="16" t="s">
        <v>842</v>
      </c>
      <c r="S1814" s="12"/>
      <c r="T1814" s="12"/>
      <c r="U1814" s="10" t="str">
        <f>HYPERLINK("https://pbs.twimg.com/profile_images/897131882210570273/ztVs4LG1.jpg","View")</f>
        <v>View</v>
      </c>
    </row>
    <row r="1815" spans="1:21" ht="20.399999999999999">
      <c r="A1815" s="6">
        <v>43423.033067129625</v>
      </c>
      <c r="B1815" s="7" t="str">
        <f>HYPERLINK("https://twitter.com/CastrVicente","@CastrVicente")</f>
        <v>@CastrVicente</v>
      </c>
      <c r="C1815" s="8" t="s">
        <v>821</v>
      </c>
      <c r="D1815" s="9" t="s">
        <v>5086</v>
      </c>
      <c r="E1815" s="10" t="str">
        <f>HYPERLINK("https://twitter.com/CastrVicente/status/1064440041999613952","1064440041999613952")</f>
        <v>1064440041999613952</v>
      </c>
      <c r="F1815" s="11" t="s">
        <v>5087</v>
      </c>
      <c r="G1815" s="12"/>
      <c r="H1815" s="12"/>
      <c r="I1815" s="13">
        <v>0</v>
      </c>
      <c r="J1815" s="13">
        <v>0</v>
      </c>
      <c r="K1815" s="14" t="str">
        <f t="shared" ref="K1815:K1816" si="336">HYPERLINK("http://twitter.com","Twitter Web Client")</f>
        <v>Twitter Web Client</v>
      </c>
      <c r="L1815" s="13">
        <v>1554</v>
      </c>
      <c r="M1815" s="13">
        <v>1381</v>
      </c>
      <c r="N1815" s="13">
        <v>83</v>
      </c>
      <c r="O1815" s="15"/>
      <c r="P1815" s="6">
        <v>40682.415925925925</v>
      </c>
      <c r="Q1815" s="17" t="s">
        <v>822</v>
      </c>
      <c r="R1815" s="16" t="s">
        <v>823</v>
      </c>
      <c r="S1815" s="11" t="s">
        <v>824</v>
      </c>
      <c r="T1815" s="12"/>
      <c r="U1815" s="10" t="str">
        <f>HYPERLINK("https://pbs.twimg.com/profile_images/935107063239364608/NPDVe0Fy.jpg","View")</f>
        <v>View</v>
      </c>
    </row>
    <row r="1816" spans="1:21" ht="40.799999999999997">
      <c r="A1816" s="6">
        <v>43423.031805555554</v>
      </c>
      <c r="B1816" s="7" t="str">
        <f>HYPERLINK("https://twitter.com/aritzparra","@aritzparra")</f>
        <v>@aritzparra</v>
      </c>
      <c r="C1816" s="8" t="s">
        <v>6352</v>
      </c>
      <c r="D1816" s="9" t="s">
        <v>6353</v>
      </c>
      <c r="E1816" s="10" t="str">
        <f>HYPERLINK("https://twitter.com/aritzparra/status/1064439587060224000","1064439587060224000")</f>
        <v>1064439587060224000</v>
      </c>
      <c r="F1816" s="11" t="s">
        <v>5087</v>
      </c>
      <c r="G1816" s="12"/>
      <c r="H1816" s="12"/>
      <c r="I1816" s="13">
        <v>0</v>
      </c>
      <c r="J1816" s="13">
        <v>1</v>
      </c>
      <c r="K1816" s="14" t="str">
        <f t="shared" si="336"/>
        <v>Twitter Web Client</v>
      </c>
      <c r="L1816" s="13">
        <v>3324</v>
      </c>
      <c r="M1816" s="13">
        <v>5373</v>
      </c>
      <c r="N1816" s="13">
        <v>180</v>
      </c>
      <c r="O1816" s="19" t="s">
        <v>74</v>
      </c>
      <c r="P1816" s="6">
        <v>40584.358576388891</v>
      </c>
      <c r="Q1816" s="17" t="s">
        <v>203</v>
      </c>
      <c r="R1816" s="16" t="s">
        <v>6354</v>
      </c>
      <c r="S1816" s="11" t="s">
        <v>6355</v>
      </c>
      <c r="T1816" s="12"/>
      <c r="U1816" s="10" t="str">
        <f>HYPERLINK("https://pbs.twimg.com/profile_images/1359316789/Nepal2forgood.jpg","View")</f>
        <v>View</v>
      </c>
    </row>
    <row r="1817" spans="1:21" ht="30.6">
      <c r="A1817" s="6">
        <v>43423.031770833331</v>
      </c>
      <c r="B1817" s="7" t="str">
        <f>HYPERLINK("https://twitter.com/LaVirgenSoy","@LaVirgenSoy")</f>
        <v>@LaVirgenSoy</v>
      </c>
      <c r="C1817" s="8" t="s">
        <v>6356</v>
      </c>
      <c r="D1817" s="9" t="s">
        <v>6357</v>
      </c>
      <c r="E1817" s="10" t="str">
        <f>HYPERLINK("https://twitter.com/LaVirgenSoy/status/1064439575983079424","1064439575983079424")</f>
        <v>1064439575983079424</v>
      </c>
      <c r="F1817" s="11" t="s">
        <v>4018</v>
      </c>
      <c r="G1817" s="12"/>
      <c r="H1817" s="12"/>
      <c r="I1817" s="13">
        <v>1</v>
      </c>
      <c r="J1817" s="13">
        <v>3</v>
      </c>
      <c r="K1817" s="14" t="str">
        <f>HYPERLINK("http://twitter.com/download/iphone","Twitter for iPhone")</f>
        <v>Twitter for iPhone</v>
      </c>
      <c r="L1817" s="13">
        <v>109</v>
      </c>
      <c r="M1817" s="13">
        <v>72</v>
      </c>
      <c r="N1817" s="13">
        <v>3</v>
      </c>
      <c r="O1817" s="15"/>
      <c r="P1817" s="6">
        <v>43065.713506944448</v>
      </c>
      <c r="Q1817" s="17" t="s">
        <v>6358</v>
      </c>
      <c r="R1817" s="16" t="s">
        <v>6359</v>
      </c>
      <c r="S1817" s="12"/>
      <c r="T1817" s="12"/>
      <c r="U1817" s="10" t="str">
        <f>HYPERLINK("https://pbs.twimg.com/profile_images/1012027134326472705/AoEgD6da.jpg","View")</f>
        <v>View</v>
      </c>
    </row>
    <row r="1818" spans="1:21" ht="30.6">
      <c r="A1818" s="6">
        <v>43423.030590277776</v>
      </c>
      <c r="B1818" s="7" t="str">
        <f>HYPERLINK("https://twitter.com/brusual","@brusual")</f>
        <v>@brusual</v>
      </c>
      <c r="C1818" s="8" t="s">
        <v>3529</v>
      </c>
      <c r="D1818" s="9" t="s">
        <v>3708</v>
      </c>
      <c r="E1818" s="10" t="str">
        <f>HYPERLINK("https://twitter.com/brusual/status/1064439145571991554","1064439145571991554")</f>
        <v>1064439145571991554</v>
      </c>
      <c r="F1818" s="11" t="s">
        <v>3709</v>
      </c>
      <c r="G1818" s="12"/>
      <c r="H1818" s="12"/>
      <c r="I1818" s="13">
        <v>0</v>
      </c>
      <c r="J1818" s="13">
        <v>1</v>
      </c>
      <c r="K1818" s="14" t="str">
        <f t="shared" ref="K1818:K1819" si="337">HYPERLINK("http://twitter.com","Twitter Web Client")</f>
        <v>Twitter Web Client</v>
      </c>
      <c r="L1818" s="13">
        <v>264</v>
      </c>
      <c r="M1818" s="13">
        <v>697</v>
      </c>
      <c r="N1818" s="13">
        <v>5</v>
      </c>
      <c r="O1818" s="15"/>
      <c r="P1818" s="6">
        <v>40639.324583333335</v>
      </c>
      <c r="Q1818" s="17" t="s">
        <v>29</v>
      </c>
      <c r="R1818" s="16" t="s">
        <v>3531</v>
      </c>
      <c r="S1818" s="12"/>
      <c r="T1818" s="12"/>
      <c r="U1818" s="10" t="str">
        <f>HYPERLINK("https://pbs.twimg.com/profile_images/1060284239751643136/5YjLRu4E.jpg","View")</f>
        <v>View</v>
      </c>
    </row>
    <row r="1819" spans="1:21" ht="20.399999999999999">
      <c r="A1819" s="6">
        <v>43423.027685185181</v>
      </c>
      <c r="B1819" s="7" t="str">
        <f>HYPERLINK("https://twitter.com/mathusal9","@mathusal9")</f>
        <v>@mathusal9</v>
      </c>
      <c r="C1819" s="8" t="s">
        <v>3852</v>
      </c>
      <c r="D1819" s="9" t="s">
        <v>6360</v>
      </c>
      <c r="E1819" s="10" t="str">
        <f>HYPERLINK("https://twitter.com/mathusal9/status/1064438095578349569","1064438095578349569")</f>
        <v>1064438095578349569</v>
      </c>
      <c r="F1819" s="11" t="s">
        <v>6361</v>
      </c>
      <c r="G1819" s="12"/>
      <c r="H1819" s="12"/>
      <c r="I1819" s="13">
        <v>0</v>
      </c>
      <c r="J1819" s="13">
        <v>0</v>
      </c>
      <c r="K1819" s="14" t="str">
        <f t="shared" si="337"/>
        <v>Twitter Web Client</v>
      </c>
      <c r="L1819" s="13">
        <v>692</v>
      </c>
      <c r="M1819" s="13">
        <v>1747</v>
      </c>
      <c r="N1819" s="13">
        <v>3</v>
      </c>
      <c r="O1819" s="15"/>
      <c r="P1819" s="6">
        <v>43049.423819444448</v>
      </c>
      <c r="Q1819" s="17" t="s">
        <v>160</v>
      </c>
      <c r="R1819" s="16" t="s">
        <v>3853</v>
      </c>
      <c r="S1819" s="12"/>
      <c r="T1819" s="12"/>
      <c r="U1819" s="10" t="str">
        <f>HYPERLINK("https://pbs.twimg.com/profile_images/936494587761385472/4QRLIAtv.jpg","View")</f>
        <v>View</v>
      </c>
    </row>
    <row r="1820" spans="1:21" ht="20.399999999999999">
      <c r="A1820" s="6">
        <v>43423.027245370366</v>
      </c>
      <c r="B1820" s="7" t="str">
        <f>HYPERLINK("https://twitter.com/pedrosinmas","@pedrosinmas")</f>
        <v>@pedrosinmas</v>
      </c>
      <c r="C1820" s="8" t="s">
        <v>6362</v>
      </c>
      <c r="D1820" s="9" t="s">
        <v>5086</v>
      </c>
      <c r="E1820" s="10" t="str">
        <f>HYPERLINK("https://twitter.com/pedrosinmas/status/1064437932621250568","1064437932621250568")</f>
        <v>1064437932621250568</v>
      </c>
      <c r="F1820" s="11" t="s">
        <v>5831</v>
      </c>
      <c r="G1820" s="12"/>
      <c r="H1820" s="12"/>
      <c r="I1820" s="13">
        <v>0</v>
      </c>
      <c r="J1820" s="13">
        <v>0</v>
      </c>
      <c r="K1820" s="14" t="str">
        <f>HYPERLINK("http://twitter.com/download/android","Twitter for Android")</f>
        <v>Twitter for Android</v>
      </c>
      <c r="L1820" s="13">
        <v>198</v>
      </c>
      <c r="M1820" s="13">
        <v>471</v>
      </c>
      <c r="N1820" s="13">
        <v>5</v>
      </c>
      <c r="O1820" s="15"/>
      <c r="P1820" s="6">
        <v>40053.619768518518</v>
      </c>
      <c r="Q1820" s="12"/>
      <c r="R1820" s="18"/>
      <c r="S1820" s="12"/>
      <c r="T1820" s="12"/>
      <c r="U1820" s="10" t="str">
        <f>HYPERLINK("https://pbs.twimg.com/profile_images/525743188896919553/vQSWBW27.jpeg","View")</f>
        <v>View</v>
      </c>
    </row>
    <row r="1821" spans="1:21" ht="40.799999999999997">
      <c r="A1821" s="6">
        <v>43423.02715277778</v>
      </c>
      <c r="B1821" s="7" t="str">
        <f>HYPERLINK("https://twitter.com/HectrSanjuan","@HectrSanjuan")</f>
        <v>@HectrSanjuan</v>
      </c>
      <c r="C1821" s="8" t="s">
        <v>6363</v>
      </c>
      <c r="D1821" s="9" t="s">
        <v>6364</v>
      </c>
      <c r="E1821" s="10" t="str">
        <f>HYPERLINK("https://twitter.com/HectrSanjuan/status/1064437899385626624","1064437899385626624")</f>
        <v>1064437899385626624</v>
      </c>
      <c r="F1821" s="11" t="s">
        <v>6365</v>
      </c>
      <c r="G1821" s="12"/>
      <c r="H1821" s="12"/>
      <c r="I1821" s="13">
        <v>0</v>
      </c>
      <c r="J1821" s="13">
        <v>0</v>
      </c>
      <c r="K1821" s="14" t="str">
        <f>HYPERLINK("http://twitter.com/download/iphone","Twitter for iPhone")</f>
        <v>Twitter for iPhone</v>
      </c>
      <c r="L1821" s="13">
        <v>3651</v>
      </c>
      <c r="M1821" s="13">
        <v>1377</v>
      </c>
      <c r="N1821" s="13">
        <v>93</v>
      </c>
      <c r="O1821" s="15"/>
      <c r="P1821" s="6">
        <v>40670.430717592593</v>
      </c>
      <c r="Q1821" s="17" t="s">
        <v>2101</v>
      </c>
      <c r="R1821" s="16" t="s">
        <v>6366</v>
      </c>
      <c r="S1821" s="11" t="s">
        <v>6367</v>
      </c>
      <c r="T1821" s="12"/>
      <c r="U1821" s="10" t="str">
        <f>HYPERLINK("https://pbs.twimg.com/profile_images/662224285889601536/pwSItLAX.jpg","View")</f>
        <v>View</v>
      </c>
    </row>
    <row r="1822" spans="1:21" ht="20.399999999999999">
      <c r="A1822" s="6">
        <v>43423.026874999996</v>
      </c>
      <c r="B1822" s="7" t="str">
        <f>HYPERLINK("https://twitter.com/Arezno","@Arezno")</f>
        <v>@Arezno</v>
      </c>
      <c r="C1822" s="8" t="s">
        <v>1309</v>
      </c>
      <c r="D1822" s="9" t="s">
        <v>6368</v>
      </c>
      <c r="E1822" s="10" t="str">
        <f>HYPERLINK("https://twitter.com/Arezno/status/1064437799619825664","1064437799619825664")</f>
        <v>1064437799619825664</v>
      </c>
      <c r="F1822" s="12"/>
      <c r="G1822" s="11" t="s">
        <v>6369</v>
      </c>
      <c r="H1822" s="12"/>
      <c r="I1822" s="13">
        <v>71</v>
      </c>
      <c r="J1822" s="13">
        <v>210</v>
      </c>
      <c r="K1822" s="14" t="str">
        <f t="shared" ref="K1822:K1823" si="338">HYPERLINK("http://twitter.com/download/android","Twitter for Android")</f>
        <v>Twitter for Android</v>
      </c>
      <c r="L1822" s="13">
        <v>51700</v>
      </c>
      <c r="M1822" s="13">
        <v>1979</v>
      </c>
      <c r="N1822" s="13">
        <v>1203</v>
      </c>
      <c r="O1822" s="15"/>
      <c r="P1822" s="6">
        <v>39593.235243055555</v>
      </c>
      <c r="Q1822" s="17" t="s">
        <v>1311</v>
      </c>
      <c r="R1822" s="16" t="s">
        <v>1312</v>
      </c>
      <c r="S1822" s="11" t="s">
        <v>1313</v>
      </c>
      <c r="T1822" s="12"/>
      <c r="U1822" s="10" t="str">
        <f>HYPERLINK("https://pbs.twimg.com/profile_images/892420921042055170/muiAu5BI.jpg","View")</f>
        <v>View</v>
      </c>
    </row>
    <row r="1823" spans="1:21" ht="51">
      <c r="A1823" s="6">
        <v>43423.026851851857</v>
      </c>
      <c r="B1823" s="7" t="str">
        <f>HYPERLINK("https://twitter.com/mfrancesita","@mfrancesita")</f>
        <v>@mfrancesita</v>
      </c>
      <c r="C1823" s="8" t="s">
        <v>6370</v>
      </c>
      <c r="D1823" s="9" t="s">
        <v>6371</v>
      </c>
      <c r="E1823" s="10" t="str">
        <f>HYPERLINK("https://twitter.com/mfrancesita/status/1064437790765666304","1064437790765666304")</f>
        <v>1064437790765666304</v>
      </c>
      <c r="F1823" s="12"/>
      <c r="G1823" s="12"/>
      <c r="H1823" s="12"/>
      <c r="I1823" s="13">
        <v>0</v>
      </c>
      <c r="J1823" s="13">
        <v>0</v>
      </c>
      <c r="K1823" s="14" t="str">
        <f t="shared" si="338"/>
        <v>Twitter for Android</v>
      </c>
      <c r="L1823" s="13">
        <v>262</v>
      </c>
      <c r="M1823" s="13">
        <v>278</v>
      </c>
      <c r="N1823" s="13">
        <v>1</v>
      </c>
      <c r="O1823" s="15"/>
      <c r="P1823" s="6">
        <v>40806.228333333333</v>
      </c>
      <c r="Q1823" s="12"/>
      <c r="R1823" s="16" t="s">
        <v>6372</v>
      </c>
      <c r="S1823" s="12"/>
      <c r="T1823" s="12"/>
      <c r="U1823" s="10" t="str">
        <f>HYPERLINK("https://pbs.twimg.com/profile_images/556736090028408832/4aDHwRmO.jpeg","View")</f>
        <v>View</v>
      </c>
    </row>
    <row r="1824" spans="1:21" ht="20.399999999999999">
      <c r="A1824" s="6">
        <v>43423.02449074074</v>
      </c>
      <c r="B1824" s="7" t="str">
        <f>HYPERLINK("https://twitter.com/evandando10","@evandando10")</f>
        <v>@evandando10</v>
      </c>
      <c r="C1824" s="8" t="s">
        <v>6373</v>
      </c>
      <c r="D1824" s="9" t="s">
        <v>6374</v>
      </c>
      <c r="E1824" s="10" t="str">
        <f>HYPERLINK("https://twitter.com/evandando10/status/1064436935836528640","1064436935836528640")</f>
        <v>1064436935836528640</v>
      </c>
      <c r="F1824" s="11" t="s">
        <v>5453</v>
      </c>
      <c r="G1824" s="11" t="s">
        <v>6375</v>
      </c>
      <c r="H1824" s="12"/>
      <c r="I1824" s="13">
        <v>0</v>
      </c>
      <c r="J1824" s="13">
        <v>0</v>
      </c>
      <c r="K1824" s="14" t="str">
        <f>HYPERLINK("https://buffer.com","Buffer")</f>
        <v>Buffer</v>
      </c>
      <c r="L1824" s="13">
        <v>5999</v>
      </c>
      <c r="M1824" s="13">
        <v>6895</v>
      </c>
      <c r="N1824" s="13">
        <v>33</v>
      </c>
      <c r="O1824" s="15"/>
      <c r="P1824" s="6">
        <v>42079.051203703704</v>
      </c>
      <c r="Q1824" s="12"/>
      <c r="R1824" s="16" t="s">
        <v>6376</v>
      </c>
      <c r="S1824" s="12"/>
      <c r="T1824" s="12"/>
      <c r="U1824" s="10" t="str">
        <f>HYPERLINK("https://pbs.twimg.com/profile_images/592954766373838849/spgpI58P.jpg","View")</f>
        <v>View</v>
      </c>
    </row>
    <row r="1825" spans="1:21" ht="20.399999999999999">
      <c r="A1825" s="6">
        <v>43423.02444444444</v>
      </c>
      <c r="B1825" s="7" t="str">
        <f>HYPERLINK("https://twitter.com/kayak_twit","@kayak_twit")</f>
        <v>@kayak_twit</v>
      </c>
      <c r="C1825" s="8" t="s">
        <v>6377</v>
      </c>
      <c r="D1825" s="9" t="s">
        <v>6378</v>
      </c>
      <c r="E1825" s="10" t="str">
        <f>HYPERLINK("https://twitter.com/kayak_twit/status/1064436917700358144","1064436917700358144")</f>
        <v>1064436917700358144</v>
      </c>
      <c r="F1825" s="11" t="s">
        <v>320</v>
      </c>
      <c r="G1825" s="12"/>
      <c r="H1825" s="12"/>
      <c r="I1825" s="13">
        <v>0</v>
      </c>
      <c r="J1825" s="13">
        <v>0</v>
      </c>
      <c r="K1825" s="14" t="str">
        <f t="shared" ref="K1825:K1826" si="339">HYPERLINK("http://twitter.com/download/android","Twitter for Android")</f>
        <v>Twitter for Android</v>
      </c>
      <c r="L1825" s="13">
        <v>2427</v>
      </c>
      <c r="M1825" s="13">
        <v>2338</v>
      </c>
      <c r="N1825" s="13">
        <v>42</v>
      </c>
      <c r="O1825" s="15"/>
      <c r="P1825" s="6">
        <v>40582.68613425926</v>
      </c>
      <c r="Q1825" s="17" t="s">
        <v>6379</v>
      </c>
      <c r="R1825" s="16" t="s">
        <v>6380</v>
      </c>
      <c r="S1825" s="12"/>
      <c r="T1825" s="12"/>
      <c r="U1825" s="10" t="str">
        <f>HYPERLINK("https://pbs.twimg.com/profile_images/378800000146370498/60af539dd94a6b23ab48b4db34ae602d.jpeg","View")</f>
        <v>View</v>
      </c>
    </row>
    <row r="1826" spans="1:21" ht="40.799999999999997">
      <c r="A1826" s="6">
        <v>43423.023564814815</v>
      </c>
      <c r="B1826" s="7" t="str">
        <f>HYPERLINK("https://twitter.com/marijosanga","@marijosanga")</f>
        <v>@marijosanga</v>
      </c>
      <c r="C1826" s="8" t="s">
        <v>3767</v>
      </c>
      <c r="D1826" s="9" t="s">
        <v>6381</v>
      </c>
      <c r="E1826" s="10" t="str">
        <f>HYPERLINK("https://twitter.com/marijosanga/status/1064436599642034176","1064436599642034176")</f>
        <v>1064436599642034176</v>
      </c>
      <c r="F1826" s="12"/>
      <c r="G1826" s="12"/>
      <c r="H1826" s="12"/>
      <c r="I1826" s="13">
        <v>0</v>
      </c>
      <c r="J1826" s="13">
        <v>1</v>
      </c>
      <c r="K1826" s="14" t="str">
        <f t="shared" si="339"/>
        <v>Twitter for Android</v>
      </c>
      <c r="L1826" s="13">
        <v>442</v>
      </c>
      <c r="M1826" s="13">
        <v>1515</v>
      </c>
      <c r="N1826" s="13">
        <v>0</v>
      </c>
      <c r="O1826" s="15"/>
      <c r="P1826" s="6">
        <v>41233.393935185188</v>
      </c>
      <c r="Q1826" s="12"/>
      <c r="R1826" s="18"/>
      <c r="S1826" s="12"/>
      <c r="T1826" s="12"/>
      <c r="U1826" s="10" t="str">
        <f>HYPERLINK("https://pbs.twimg.com/profile_images/658669769529409537/V4GbnPhn.jpg","View")</f>
        <v>View</v>
      </c>
    </row>
    <row r="1827" spans="1:21" ht="40.799999999999997">
      <c r="A1827" s="6">
        <v>43423.018912037034</v>
      </c>
      <c r="B1827" s="7" t="str">
        <f>HYPERLINK("https://twitter.com/protestona1","@protestona1")</f>
        <v>@protestona1</v>
      </c>
      <c r="C1827" s="8" t="s">
        <v>1466</v>
      </c>
      <c r="D1827" s="9" t="s">
        <v>6382</v>
      </c>
      <c r="E1827" s="10" t="str">
        <f>HYPERLINK("https://twitter.com/protestona1/status/1064434913166966784","1064434913166966784")</f>
        <v>1064434913166966784</v>
      </c>
      <c r="F1827" s="12"/>
      <c r="G1827" s="11" t="s">
        <v>6248</v>
      </c>
      <c r="H1827" s="12"/>
      <c r="I1827" s="13">
        <v>74</v>
      </c>
      <c r="J1827" s="13">
        <v>96</v>
      </c>
      <c r="K1827" s="14" t="str">
        <f>HYPERLINK("http://twitter.com/download/iphone","Twitter for iPhone")</f>
        <v>Twitter for iPhone</v>
      </c>
      <c r="L1827" s="13">
        <v>151543</v>
      </c>
      <c r="M1827" s="13">
        <v>2210</v>
      </c>
      <c r="N1827" s="13">
        <v>4</v>
      </c>
      <c r="O1827" s="15"/>
      <c r="P1827" s="6">
        <v>41352.488032407404</v>
      </c>
      <c r="Q1827" s="17" t="s">
        <v>118</v>
      </c>
      <c r="R1827" s="16" t="s">
        <v>1469</v>
      </c>
      <c r="S1827" s="11" t="s">
        <v>1470</v>
      </c>
      <c r="T1827" s="12"/>
      <c r="U1827" s="10" t="str">
        <f>HYPERLINK("https://pbs.twimg.com/profile_images/1014938895501463552/_oCE6Q1b.jpg","View")</f>
        <v>View</v>
      </c>
    </row>
    <row r="1828" spans="1:21" ht="40.799999999999997">
      <c r="A1828" s="6">
        <v>43423.018495370372</v>
      </c>
      <c r="B1828" s="7" t="str">
        <f>HYPERLINK("https://twitter.com/ldpsincomplejos","@ldpsincomplejos")</f>
        <v>@ldpsincomplejos</v>
      </c>
      <c r="C1828" s="8" t="s">
        <v>2102</v>
      </c>
      <c r="D1828" s="9" t="s">
        <v>5620</v>
      </c>
      <c r="E1828" s="10" t="str">
        <f>HYPERLINK("https://twitter.com/ldpsincomplejos/status/1064434762717249536","1064434762717249536")</f>
        <v>1064434762717249536</v>
      </c>
      <c r="F1828" s="11" t="s">
        <v>5621</v>
      </c>
      <c r="G1828" s="12"/>
      <c r="H1828" s="12"/>
      <c r="I1828" s="13">
        <v>528</v>
      </c>
      <c r="J1828" s="13">
        <v>490</v>
      </c>
      <c r="K1828" s="14" t="str">
        <f>HYPERLINK("http://twitter.com","Twitter Web Client")</f>
        <v>Twitter Web Client</v>
      </c>
      <c r="L1828" s="13">
        <v>108175</v>
      </c>
      <c r="M1828" s="13">
        <v>2604</v>
      </c>
      <c r="N1828" s="13">
        <v>1069</v>
      </c>
      <c r="O1828" s="19" t="s">
        <v>74</v>
      </c>
      <c r="P1828" s="6">
        <v>40566.402245370373</v>
      </c>
      <c r="Q1828" s="17" t="s">
        <v>76</v>
      </c>
      <c r="R1828" s="16" t="s">
        <v>2104</v>
      </c>
      <c r="S1828" s="11" t="s">
        <v>2105</v>
      </c>
      <c r="T1828" s="12"/>
      <c r="U1828" s="10" t="str">
        <f>HYPERLINK("https://pbs.twimg.com/profile_images/1007677959245828097/i-2yAFvg.jpg","View")</f>
        <v>View</v>
      </c>
    </row>
    <row r="1829" spans="1:21" ht="30.6">
      <c r="A1829" s="6">
        <v>43423.015810185185</v>
      </c>
      <c r="B1829" s="7" t="str">
        <f>HYPERLINK("https://twitter.com/automatedpedre","@automatedpedre")</f>
        <v>@automatedpedre</v>
      </c>
      <c r="C1829" s="8" t="s">
        <v>6383</v>
      </c>
      <c r="D1829" s="9" t="s">
        <v>6384</v>
      </c>
      <c r="E1829" s="10" t="str">
        <f>HYPERLINK("https://twitter.com/automatedpedre/status/1064433788724396032","1064433788724396032")</f>
        <v>1064433788724396032</v>
      </c>
      <c r="F1829" s="12"/>
      <c r="G1829" s="12"/>
      <c r="H1829" s="12"/>
      <c r="I1829" s="13">
        <v>0</v>
      </c>
      <c r="J1829" s="13">
        <v>0</v>
      </c>
      <c r="K1829" s="14" t="str">
        <f>HYPERLINK("https://apps.twitter.com/app/12563260","bot lmao")</f>
        <v>bot lmao</v>
      </c>
      <c r="L1829" s="13">
        <v>16</v>
      </c>
      <c r="M1829" s="13">
        <v>1</v>
      </c>
      <c r="N1829" s="13">
        <v>1</v>
      </c>
      <c r="O1829" s="15"/>
      <c r="P1829" s="6">
        <v>42554.520740740743</v>
      </c>
      <c r="Q1829" s="17" t="s">
        <v>6385</v>
      </c>
      <c r="R1829" s="16" t="s">
        <v>6386</v>
      </c>
      <c r="S1829" s="12"/>
      <c r="T1829" s="12"/>
      <c r="U1829" s="10" t="str">
        <f>HYPERLINK("https://pbs.twimg.com/profile_images/1049257335070347264/nilhAJP7.jpg","View")</f>
        <v>View</v>
      </c>
    </row>
    <row r="1830" spans="1:21" ht="30.6">
      <c r="A1830" s="6">
        <v>43423.013344907406</v>
      </c>
      <c r="B1830" s="7" t="str">
        <f>HYPERLINK("https://twitter.com/Canal4televisio","@Canal4televisio")</f>
        <v>@Canal4televisio</v>
      </c>
      <c r="C1830" s="8" t="s">
        <v>6387</v>
      </c>
      <c r="D1830" s="9" t="s">
        <v>6388</v>
      </c>
      <c r="E1830" s="10" t="str">
        <f>HYPERLINK("https://twitter.com/Canal4televisio/status/1064432898248445952","1064432898248445952")</f>
        <v>1064432898248445952</v>
      </c>
      <c r="F1830" s="11" t="s">
        <v>6232</v>
      </c>
      <c r="G1830" s="12"/>
      <c r="H1830" s="12"/>
      <c r="I1830" s="13">
        <v>0</v>
      </c>
      <c r="J1830" s="13">
        <v>0</v>
      </c>
      <c r="K1830" s="14" t="str">
        <f>HYPERLINK("http://twitter.com","Twitter Web Client")</f>
        <v>Twitter Web Client</v>
      </c>
      <c r="L1830" s="13">
        <v>4586</v>
      </c>
      <c r="M1830" s="13">
        <v>1702</v>
      </c>
      <c r="N1830" s="13">
        <v>78</v>
      </c>
      <c r="O1830" s="15"/>
      <c r="P1830" s="6">
        <v>40953.519953703704</v>
      </c>
      <c r="Q1830" s="12"/>
      <c r="R1830" s="16" t="s">
        <v>6389</v>
      </c>
      <c r="S1830" s="11" t="s">
        <v>6390</v>
      </c>
      <c r="T1830" s="12"/>
      <c r="U1830" s="10" t="str">
        <f>HYPERLINK("https://pbs.twimg.com/profile_images/1039446607379488768/qiDGO4B2.jpg","View")</f>
        <v>View</v>
      </c>
    </row>
    <row r="1831" spans="1:21" ht="20.399999999999999">
      <c r="A1831" s="6">
        <v>43423.010659722218</v>
      </c>
      <c r="B1831" s="7" t="str">
        <f>HYPERLINK("https://twitter.com/TeresaGS26","@TeresaGS26")</f>
        <v>@TeresaGS26</v>
      </c>
      <c r="C1831" s="8" t="s">
        <v>6391</v>
      </c>
      <c r="D1831" s="9" t="s">
        <v>6392</v>
      </c>
      <c r="E1831" s="10" t="str">
        <f>HYPERLINK("https://twitter.com/TeresaGS26/status/1064431923299344384","1064431923299344384")</f>
        <v>1064431923299344384</v>
      </c>
      <c r="F1831" s="11" t="s">
        <v>6083</v>
      </c>
      <c r="G1831" s="12"/>
      <c r="H1831" s="12"/>
      <c r="I1831" s="13">
        <v>0</v>
      </c>
      <c r="J1831" s="13">
        <v>0</v>
      </c>
      <c r="K1831" s="14" t="str">
        <f>HYPERLINK("http://twitter.com/download/iphone","Twitter for iPhone")</f>
        <v>Twitter for iPhone</v>
      </c>
      <c r="L1831" s="13">
        <v>837</v>
      </c>
      <c r="M1831" s="13">
        <v>1017</v>
      </c>
      <c r="N1831" s="13">
        <v>17</v>
      </c>
      <c r="O1831" s="15"/>
      <c r="P1831" s="6">
        <v>42241.239548611113</v>
      </c>
      <c r="Q1831" s="12"/>
      <c r="R1831" s="16" t="s">
        <v>6393</v>
      </c>
      <c r="S1831" s="12"/>
      <c r="T1831" s="12"/>
      <c r="U1831" s="10" t="str">
        <f>HYPERLINK("https://pbs.twimg.com/profile_images/636159808249446400/2J9thX4B.jpg","View")</f>
        <v>View</v>
      </c>
    </row>
    <row r="1832" spans="1:21" ht="20.399999999999999">
      <c r="A1832" s="6">
        <v>43423.010312500002</v>
      </c>
      <c r="B1832" s="7" t="str">
        <f>HYPERLINK("https://twitter.com/Falbaluca","@Falbaluca")</f>
        <v>@Falbaluca</v>
      </c>
      <c r="C1832" s="8" t="s">
        <v>6394</v>
      </c>
      <c r="D1832" s="9" t="s">
        <v>5086</v>
      </c>
      <c r="E1832" s="10" t="str">
        <f>HYPERLINK("https://twitter.com/Falbaluca/status/1064431797365342208","1064431797365342208")</f>
        <v>1064431797365342208</v>
      </c>
      <c r="F1832" s="11" t="s">
        <v>5087</v>
      </c>
      <c r="G1832" s="12"/>
      <c r="H1832" s="12"/>
      <c r="I1832" s="13">
        <v>0</v>
      </c>
      <c r="J1832" s="13">
        <v>1</v>
      </c>
      <c r="K1832" s="14" t="str">
        <f t="shared" ref="K1832:K1833" si="340">HYPERLINK("http://twitter.com","Twitter Web Client")</f>
        <v>Twitter Web Client</v>
      </c>
      <c r="L1832" s="13">
        <v>296</v>
      </c>
      <c r="M1832" s="13">
        <v>281</v>
      </c>
      <c r="N1832" s="13">
        <v>30</v>
      </c>
      <c r="O1832" s="15"/>
      <c r="P1832" s="6">
        <v>40726.137824074074</v>
      </c>
      <c r="Q1832" s="12"/>
      <c r="R1832" s="18"/>
      <c r="S1832" s="12"/>
      <c r="T1832" s="12"/>
      <c r="U1832" s="10" t="str">
        <f>HYPERLINK("https://pbs.twimg.com/profile_images/629563976079249408/EkxY6Ff1.jpg","View")</f>
        <v>View</v>
      </c>
    </row>
    <row r="1833" spans="1:21" ht="30.6">
      <c r="A1833" s="6">
        <v>43423.010034722218</v>
      </c>
      <c r="B1833" s="7" t="str">
        <f>HYPERLINK("https://twitter.com/RamonMLGA","@RamonMLGA")</f>
        <v>@RamonMLGA</v>
      </c>
      <c r="C1833" s="8" t="s">
        <v>831</v>
      </c>
      <c r="D1833" s="9" t="s">
        <v>3900</v>
      </c>
      <c r="E1833" s="10" t="str">
        <f>HYPERLINK("https://twitter.com/RamonMLGA/status/1064431697645760512","1064431697645760512")</f>
        <v>1064431697645760512</v>
      </c>
      <c r="F1833" s="11" t="s">
        <v>320</v>
      </c>
      <c r="G1833" s="12"/>
      <c r="H1833" s="12"/>
      <c r="I1833" s="13">
        <v>2</v>
      </c>
      <c r="J1833" s="13">
        <v>3</v>
      </c>
      <c r="K1833" s="14" t="str">
        <f t="shared" si="340"/>
        <v>Twitter Web Client</v>
      </c>
      <c r="L1833" s="13">
        <v>9937</v>
      </c>
      <c r="M1833" s="13">
        <v>5134</v>
      </c>
      <c r="N1833" s="13">
        <v>82</v>
      </c>
      <c r="O1833" s="15"/>
      <c r="P1833" s="6">
        <v>41993.259409722217</v>
      </c>
      <c r="Q1833" s="17" t="s">
        <v>506</v>
      </c>
      <c r="R1833" s="16" t="s">
        <v>832</v>
      </c>
      <c r="S1833" s="11" t="s">
        <v>833</v>
      </c>
      <c r="T1833" s="12"/>
      <c r="U1833" s="10" t="str">
        <f>HYPERLINK("https://pbs.twimg.com/profile_images/1064883832757866496/YwnWCi4f.jpg","View")</f>
        <v>View</v>
      </c>
    </row>
    <row r="1834" spans="1:21" ht="51">
      <c r="A1834" s="6">
        <v>43423.008761574078</v>
      </c>
      <c r="B1834" s="7" t="str">
        <f>HYPERLINK("https://twitter.com/mpera4","@mpera4")</f>
        <v>@mpera4</v>
      </c>
      <c r="C1834" s="8" t="s">
        <v>6395</v>
      </c>
      <c r="D1834" s="9" t="s">
        <v>6396</v>
      </c>
      <c r="E1834" s="10" t="str">
        <f>HYPERLINK("https://twitter.com/mpera4/status/1064431236926644224","1064431236926644224")</f>
        <v>1064431236926644224</v>
      </c>
      <c r="F1834" s="17" t="s">
        <v>6397</v>
      </c>
      <c r="G1834" s="11" t="s">
        <v>6398</v>
      </c>
      <c r="H1834" s="12"/>
      <c r="I1834" s="13">
        <v>2</v>
      </c>
      <c r="J1834" s="13">
        <v>3</v>
      </c>
      <c r="K1834" s="14" t="str">
        <f>HYPERLINK("http://twitter.com/download/android","Twitter for Android")</f>
        <v>Twitter for Android</v>
      </c>
      <c r="L1834" s="13">
        <v>1144</v>
      </c>
      <c r="M1834" s="13">
        <v>2262</v>
      </c>
      <c r="N1834" s="13">
        <v>8</v>
      </c>
      <c r="O1834" s="15"/>
      <c r="P1834" s="6">
        <v>41108.815601851849</v>
      </c>
      <c r="Q1834" s="17" t="s">
        <v>6399</v>
      </c>
      <c r="R1834" s="16" t="s">
        <v>6400</v>
      </c>
      <c r="S1834" s="12"/>
      <c r="T1834" s="12"/>
      <c r="U1834" s="10" t="str">
        <f>HYPERLINK("https://pbs.twimg.com/profile_images/1060122796926341121/kcHx5euB.jpg","View")</f>
        <v>View</v>
      </c>
    </row>
    <row r="1835" spans="1:21" ht="20.399999999999999">
      <c r="A1835" s="6">
        <v>43423.008645833332</v>
      </c>
      <c r="B1835" s="7" t="str">
        <f>HYPERLINK("https://twitter.com/PilarLuelMercha","@PilarLuelMercha")</f>
        <v>@PilarLuelMercha</v>
      </c>
      <c r="C1835" s="8" t="s">
        <v>6401</v>
      </c>
      <c r="D1835" s="9" t="s">
        <v>3900</v>
      </c>
      <c r="E1835" s="10" t="str">
        <f>HYPERLINK("https://twitter.com/PilarLuelMercha/status/1064431192160825344","1064431192160825344")</f>
        <v>1064431192160825344</v>
      </c>
      <c r="F1835" s="11" t="s">
        <v>320</v>
      </c>
      <c r="G1835" s="12"/>
      <c r="H1835" s="12"/>
      <c r="I1835" s="13">
        <v>2</v>
      </c>
      <c r="J1835" s="13">
        <v>2</v>
      </c>
      <c r="K1835" s="14" t="str">
        <f>HYPERLINK("http://twitter.com","Twitter Web Client")</f>
        <v>Twitter Web Client</v>
      </c>
      <c r="L1835" s="13">
        <v>15811</v>
      </c>
      <c r="M1835" s="13">
        <v>13290</v>
      </c>
      <c r="N1835" s="13">
        <v>138</v>
      </c>
      <c r="O1835" s="15"/>
      <c r="P1835" s="6">
        <v>41773.165891203702</v>
      </c>
      <c r="Q1835" s="17" t="s">
        <v>1363</v>
      </c>
      <c r="R1835" s="16" t="s">
        <v>6402</v>
      </c>
      <c r="S1835" s="11" t="s">
        <v>6403</v>
      </c>
      <c r="T1835" s="12"/>
      <c r="U1835" s="10" t="str">
        <f>HYPERLINK("https://pbs.twimg.com/profile_images/1031804943819259904/1u0x7a9T.jpg","View")</f>
        <v>View</v>
      </c>
    </row>
    <row r="1836" spans="1:21" ht="40.799999999999997">
      <c r="A1836" s="6">
        <v>43423.007118055553</v>
      </c>
      <c r="B1836" s="7" t="str">
        <f>HYPERLINK("https://twitter.com/f_martinezvidal","@f_martinezvidal")</f>
        <v>@f_martinezvidal</v>
      </c>
      <c r="C1836" s="8" t="s">
        <v>6404</v>
      </c>
      <c r="D1836" s="9" t="s">
        <v>6405</v>
      </c>
      <c r="E1836" s="10" t="str">
        <f>HYPERLINK("https://twitter.com/f_martinezvidal/status/1064430639544446978","1064430639544446978")</f>
        <v>1064430639544446978</v>
      </c>
      <c r="F1836" s="11" t="s">
        <v>6406</v>
      </c>
      <c r="G1836" s="12"/>
      <c r="H1836" s="12"/>
      <c r="I1836" s="13">
        <v>0</v>
      </c>
      <c r="J1836" s="13">
        <v>0</v>
      </c>
      <c r="K1836" s="14" t="str">
        <f>HYPERLINK("http://twitter.com/download/iphone","Twitter for iPhone")</f>
        <v>Twitter for iPhone</v>
      </c>
      <c r="L1836" s="13">
        <v>3407</v>
      </c>
      <c r="M1836" s="13">
        <v>3825</v>
      </c>
      <c r="N1836" s="13">
        <v>47</v>
      </c>
      <c r="O1836" s="15"/>
      <c r="P1836" s="6">
        <v>40716.082627314812</v>
      </c>
      <c r="Q1836" s="17" t="s">
        <v>6407</v>
      </c>
      <c r="R1836" s="16" t="s">
        <v>6408</v>
      </c>
      <c r="S1836" s="12"/>
      <c r="T1836" s="12"/>
      <c r="U1836" s="10" t="str">
        <f>HYPERLINK("https://pbs.twimg.com/profile_images/1418648762/IMG00042-20100508-1557.jpg","View")</f>
        <v>View</v>
      </c>
    </row>
    <row r="1837" spans="1:21" ht="30.6">
      <c r="A1837" s="6">
        <v>43423.007048611107</v>
      </c>
      <c r="B1837" s="7" t="str">
        <f>HYPERLINK("https://twitter.com/Franciscoalbac3","@Franciscoalbac3")</f>
        <v>@Franciscoalbac3</v>
      </c>
      <c r="C1837" s="8" t="s">
        <v>4913</v>
      </c>
      <c r="D1837" s="9" t="s">
        <v>6409</v>
      </c>
      <c r="E1837" s="10" t="str">
        <f>HYPERLINK("https://twitter.com/Franciscoalbac3/status/1064430616698122241","1064430616698122241")</f>
        <v>1064430616698122241</v>
      </c>
      <c r="F1837" s="11" t="s">
        <v>4018</v>
      </c>
      <c r="G1837" s="12"/>
      <c r="H1837" s="12"/>
      <c r="I1837" s="13">
        <v>1</v>
      </c>
      <c r="J1837" s="13">
        <v>1</v>
      </c>
      <c r="K1837" s="14" t="str">
        <f>HYPERLINK("http://twitter.com/download/android","Twitter for Android")</f>
        <v>Twitter for Android</v>
      </c>
      <c r="L1837" s="13">
        <v>372</v>
      </c>
      <c r="M1837" s="13">
        <v>942</v>
      </c>
      <c r="N1837" s="13">
        <v>0</v>
      </c>
      <c r="O1837" s="15"/>
      <c r="P1837" s="6">
        <v>43374.43545138889</v>
      </c>
      <c r="Q1837" s="17" t="s">
        <v>338</v>
      </c>
      <c r="R1837" s="16" t="s">
        <v>4916</v>
      </c>
      <c r="S1837" s="12"/>
      <c r="T1837" s="12"/>
      <c r="U1837" s="10" t="str">
        <f>HYPERLINK("https://pbs.twimg.com/profile_images/1046818958786088961/vDXcbRmG.jpg","View")</f>
        <v>View</v>
      </c>
    </row>
    <row r="1838" spans="1:21" ht="20.399999999999999">
      <c r="A1838" s="6">
        <v>43423.003680555557</v>
      </c>
      <c r="B1838" s="7" t="str">
        <f>HYPERLINK("https://twitter.com/Theon_Greyjoy__","@Theon_Greyjoy__")</f>
        <v>@Theon_Greyjoy__</v>
      </c>
      <c r="C1838" s="8" t="s">
        <v>6410</v>
      </c>
      <c r="D1838" s="9" t="s">
        <v>6411</v>
      </c>
      <c r="E1838" s="10" t="str">
        <f>HYPERLINK("https://twitter.com/Theon_Greyjoy__/status/1064429395035721728","1064429395035721728")</f>
        <v>1064429395035721728</v>
      </c>
      <c r="F1838" s="11" t="s">
        <v>5095</v>
      </c>
      <c r="G1838" s="12"/>
      <c r="H1838" s="12"/>
      <c r="I1838" s="13">
        <v>0</v>
      </c>
      <c r="J1838" s="13">
        <v>0</v>
      </c>
      <c r="K1838" s="14" t="str">
        <f>HYPERLINK("https://buffer.com","Buffer")</f>
        <v>Buffer</v>
      </c>
      <c r="L1838" s="13">
        <v>125</v>
      </c>
      <c r="M1838" s="13">
        <v>986</v>
      </c>
      <c r="N1838" s="13">
        <v>0</v>
      </c>
      <c r="O1838" s="15"/>
      <c r="P1838" s="6">
        <v>43339.476423611108</v>
      </c>
      <c r="Q1838" s="17" t="s">
        <v>2963</v>
      </c>
      <c r="R1838" s="16" t="s">
        <v>6412</v>
      </c>
      <c r="S1838" s="12"/>
      <c r="T1838" s="12"/>
      <c r="U1838" s="10" t="str">
        <f>HYPERLINK("https://pbs.twimg.com/profile_images/1034145567939674116/CWwy9hyT.jpg","View")</f>
        <v>View</v>
      </c>
    </row>
    <row r="1839" spans="1:21" ht="30.6">
      <c r="A1839" s="6">
        <v>43423.002233796295</v>
      </c>
      <c r="B1839" s="7" t="str">
        <f>HYPERLINK("https://twitter.com/PPPPaco","@PPPPaco")</f>
        <v>@PPPPaco</v>
      </c>
      <c r="C1839" s="8" t="s">
        <v>3209</v>
      </c>
      <c r="D1839" s="9" t="s">
        <v>6413</v>
      </c>
      <c r="E1839" s="10" t="str">
        <f>HYPERLINK("https://twitter.com/PPPPaco/status/1064428870936522752","1064428870936522752")</f>
        <v>1064428870936522752</v>
      </c>
      <c r="F1839" s="12"/>
      <c r="G1839" s="12"/>
      <c r="H1839" s="12"/>
      <c r="I1839" s="13">
        <v>0</v>
      </c>
      <c r="J1839" s="13">
        <v>2</v>
      </c>
      <c r="K1839" s="14" t="str">
        <f>HYPERLINK("http://twitter.com/download/iphone","Twitter for iPhone")</f>
        <v>Twitter for iPhone</v>
      </c>
      <c r="L1839" s="13">
        <v>1739</v>
      </c>
      <c r="M1839" s="13">
        <v>350</v>
      </c>
      <c r="N1839" s="13">
        <v>69</v>
      </c>
      <c r="O1839" s="15"/>
      <c r="P1839" s="6">
        <v>41449.725972222222</v>
      </c>
      <c r="Q1839" s="12"/>
      <c r="R1839" s="16" t="s">
        <v>6414</v>
      </c>
      <c r="S1839" s="12"/>
      <c r="T1839" s="12"/>
      <c r="U1839" s="10" t="str">
        <f>HYPERLINK("https://pbs.twimg.com/profile_images/1057399821093531648/kuaYivB_.jpg","View")</f>
        <v>View</v>
      </c>
    </row>
    <row r="1840" spans="1:21" ht="51">
      <c r="A1840" s="6">
        <v>43423.001736111109</v>
      </c>
      <c r="B1840" s="7" t="str">
        <f>HYPERLINK("https://twitter.com/Miguelcanetfem5","@Miguelcanetfem5")</f>
        <v>@Miguelcanetfem5</v>
      </c>
      <c r="C1840" s="8" t="s">
        <v>6415</v>
      </c>
      <c r="D1840" s="9" t="s">
        <v>6416</v>
      </c>
      <c r="E1840" s="10" t="str">
        <f>HYPERLINK("https://twitter.com/Miguelcanetfem5/status/1064428690489176064","1064428690489176064")</f>
        <v>1064428690489176064</v>
      </c>
      <c r="F1840" s="12"/>
      <c r="G1840" s="11" t="s">
        <v>6417</v>
      </c>
      <c r="H1840" s="12"/>
      <c r="I1840" s="13">
        <v>1</v>
      </c>
      <c r="J1840" s="13">
        <v>4</v>
      </c>
      <c r="K1840" s="14" t="str">
        <f>HYPERLINK("http://twitter.com/download/android","Twitter for Android")</f>
        <v>Twitter for Android</v>
      </c>
      <c r="L1840" s="13">
        <v>417</v>
      </c>
      <c r="M1840" s="13">
        <v>451</v>
      </c>
      <c r="N1840" s="13">
        <v>2</v>
      </c>
      <c r="O1840" s="15"/>
      <c r="P1840" s="6">
        <v>43171.024363425924</v>
      </c>
      <c r="Q1840" s="17" t="s">
        <v>6418</v>
      </c>
      <c r="R1840" s="16" t="s">
        <v>6419</v>
      </c>
      <c r="S1840" s="12"/>
      <c r="T1840" s="12"/>
      <c r="U1840" s="10" t="str">
        <f>HYPERLINK("https://pbs.twimg.com/profile_images/1051516935995834369/OiiarvFE.jpg","View")</f>
        <v>View</v>
      </c>
    </row>
    <row r="1841" spans="1:21" ht="40.799999999999997">
      <c r="A1841" s="6">
        <v>43423.001736111109</v>
      </c>
      <c r="B1841" s="7" t="str">
        <f>HYPERLINK("https://twitter.com/ElMundoEspana","@ElMundoEspana")</f>
        <v>@ElMundoEspana</v>
      </c>
      <c r="C1841" s="8" t="s">
        <v>2381</v>
      </c>
      <c r="D1841" s="9" t="s">
        <v>6420</v>
      </c>
      <c r="E1841" s="10" t="str">
        <f>HYPERLINK("https://twitter.com/ElMundoEspana/status/1064428688836575233","1064428688836575233")</f>
        <v>1064428688836575233</v>
      </c>
      <c r="F1841" s="11" t="s">
        <v>6083</v>
      </c>
      <c r="G1841" s="12"/>
      <c r="H1841" s="12"/>
      <c r="I1841" s="13">
        <v>0</v>
      </c>
      <c r="J1841" s="13">
        <v>0</v>
      </c>
      <c r="K1841" s="14" t="str">
        <f t="shared" ref="K1841:K1842" si="341">HYPERLINK("http://twitter.com","Twitter Web Client")</f>
        <v>Twitter Web Client</v>
      </c>
      <c r="L1841" s="13">
        <v>17967</v>
      </c>
      <c r="M1841" s="13">
        <v>654</v>
      </c>
      <c r="N1841" s="13">
        <v>350</v>
      </c>
      <c r="O1841" s="19" t="s">
        <v>74</v>
      </c>
      <c r="P1841" s="6">
        <v>42089.082106481481</v>
      </c>
      <c r="Q1841" s="12"/>
      <c r="R1841" s="16" t="s">
        <v>2383</v>
      </c>
      <c r="S1841" s="11" t="s">
        <v>2384</v>
      </c>
      <c r="T1841" s="12"/>
      <c r="U1841" s="10" t="str">
        <f>HYPERLINK("https://pbs.twimg.com/profile_images/780431237555032064/H6v83dkC.jpg","View")</f>
        <v>View</v>
      </c>
    </row>
    <row r="1842" spans="1:21" ht="13.2">
      <c r="A1842" s="6">
        <v>43423.00163194444</v>
      </c>
      <c r="B1842" s="7" t="str">
        <f>HYPERLINK("https://twitter.com/loscalvitos","@loscalvitos")</f>
        <v>@loscalvitos</v>
      </c>
      <c r="C1842" s="8" t="s">
        <v>3834</v>
      </c>
      <c r="D1842" s="9" t="s">
        <v>6421</v>
      </c>
      <c r="E1842" s="10" t="str">
        <f>HYPERLINK("https://twitter.com/loscalvitos/status/1064428650303537153","1064428650303537153")</f>
        <v>1064428650303537153</v>
      </c>
      <c r="F1842" s="11" t="s">
        <v>5659</v>
      </c>
      <c r="G1842" s="11" t="s">
        <v>6422</v>
      </c>
      <c r="H1842" s="12"/>
      <c r="I1842" s="13">
        <v>6</v>
      </c>
      <c r="J1842" s="13">
        <v>3</v>
      </c>
      <c r="K1842" s="14" t="str">
        <f t="shared" si="341"/>
        <v>Twitter Web Client</v>
      </c>
      <c r="L1842" s="13">
        <v>434</v>
      </c>
      <c r="M1842" s="13">
        <v>189</v>
      </c>
      <c r="N1842" s="13">
        <v>16</v>
      </c>
      <c r="O1842" s="15"/>
      <c r="P1842" s="6">
        <v>42604.327557870369</v>
      </c>
      <c r="Q1842" s="12"/>
      <c r="R1842" s="18"/>
      <c r="S1842" s="12"/>
      <c r="T1842" s="12"/>
      <c r="U1842" s="10" t="str">
        <f>HYPERLINK("https://pbs.twimg.com/profile_images/985977576815513601/cjodD9Rh.jpg","View")</f>
        <v>View</v>
      </c>
    </row>
    <row r="1843" spans="1:21" ht="40.799999999999997">
      <c r="A1843" s="6">
        <v>43423.000775462962</v>
      </c>
      <c r="B1843" s="7" t="str">
        <f>HYPERLINK("https://twitter.com/roger_figueras2","@roger_figueras2")</f>
        <v>@roger_figueras2</v>
      </c>
      <c r="C1843" s="8" t="s">
        <v>6423</v>
      </c>
      <c r="D1843" s="9" t="s">
        <v>6424</v>
      </c>
      <c r="E1843" s="10" t="str">
        <f>HYPERLINK("https://twitter.com/roger_figueras2/status/1064428340164087808","1064428340164087808")</f>
        <v>1064428340164087808</v>
      </c>
      <c r="F1843" s="12"/>
      <c r="G1843" s="12"/>
      <c r="H1843" s="12"/>
      <c r="I1843" s="13">
        <v>2</v>
      </c>
      <c r="J1843" s="13">
        <v>5</v>
      </c>
      <c r="K1843" s="14" t="str">
        <f>HYPERLINK("http://twitter.com/download/iphone","Twitter for iPhone")</f>
        <v>Twitter for iPhone</v>
      </c>
      <c r="L1843" s="13">
        <v>90</v>
      </c>
      <c r="M1843" s="13">
        <v>209</v>
      </c>
      <c r="N1843" s="13">
        <v>0</v>
      </c>
      <c r="O1843" s="15"/>
      <c r="P1843" s="6">
        <v>42403.141539351855</v>
      </c>
      <c r="Q1843" s="12"/>
      <c r="R1843" s="16" t="s">
        <v>6425</v>
      </c>
      <c r="S1843" s="12"/>
      <c r="T1843" s="12"/>
      <c r="U1843" s="10" t="str">
        <f>HYPERLINK("https://pbs.twimg.com/profile_images/694859003340398592/iMxu2ZCo.jpg","View")</f>
        <v>View</v>
      </c>
    </row>
    <row r="1844" spans="1:21" ht="40.799999999999997">
      <c r="A1844" s="6">
        <v>43422.997662037036</v>
      </c>
      <c r="B1844" s="7" t="str">
        <f>HYPERLINK("https://twitter.com/PaquiLaContable","@PaquiLaContable")</f>
        <v>@PaquiLaContable</v>
      </c>
      <c r="C1844" s="8" t="s">
        <v>6426</v>
      </c>
      <c r="D1844" s="9" t="s">
        <v>6427</v>
      </c>
      <c r="E1844" s="10" t="str">
        <f>HYPERLINK("https://twitter.com/PaquiLaContable/status/1064427213850841088","1064427213850841088")</f>
        <v>1064427213850841088</v>
      </c>
      <c r="F1844" s="12"/>
      <c r="G1844" s="12"/>
      <c r="H1844" s="12"/>
      <c r="I1844" s="13">
        <v>0</v>
      </c>
      <c r="J1844" s="13">
        <v>0</v>
      </c>
      <c r="K1844" s="14" t="str">
        <f>HYPERLINK("http://twitter.com","Twitter Web Client")</f>
        <v>Twitter Web Client</v>
      </c>
      <c r="L1844" s="13">
        <v>702</v>
      </c>
      <c r="M1844" s="13">
        <v>1608</v>
      </c>
      <c r="N1844" s="13">
        <v>11</v>
      </c>
      <c r="O1844" s="15"/>
      <c r="P1844" s="6">
        <v>41972.46711805556</v>
      </c>
      <c r="Q1844" s="17" t="s">
        <v>6428</v>
      </c>
      <c r="R1844" s="16" t="s">
        <v>6429</v>
      </c>
      <c r="S1844" s="11" t="s">
        <v>6430</v>
      </c>
      <c r="T1844" s="12"/>
      <c r="U1844" s="10" t="str">
        <f>HYPERLINK("https://pbs.twimg.com/profile_images/1065579443278831616/-NASAlNB.jpg","View")</f>
        <v>View</v>
      </c>
    </row>
    <row r="1845" spans="1:21" ht="40.799999999999997">
      <c r="A1845" s="6">
        <v>43422.994016203702</v>
      </c>
      <c r="B1845" s="7" t="str">
        <f t="shared" ref="B1845:B1846" si="342">HYPERLINK("https://twitter.com/tio_chabo","@tio_chabo")</f>
        <v>@tio_chabo</v>
      </c>
      <c r="C1845" s="8" t="s">
        <v>2157</v>
      </c>
      <c r="D1845" s="9" t="s">
        <v>6431</v>
      </c>
      <c r="E1845" s="10" t="str">
        <f>HYPERLINK("https://twitter.com/tio_chabo/status/1064425894327054336","1064425894327054336")</f>
        <v>1064425894327054336</v>
      </c>
      <c r="F1845" s="11" t="s">
        <v>6432</v>
      </c>
      <c r="G1845" s="12"/>
      <c r="H1845" s="12"/>
      <c r="I1845" s="13">
        <v>0</v>
      </c>
      <c r="J1845" s="13">
        <v>0</v>
      </c>
      <c r="K1845" s="14" t="str">
        <f t="shared" ref="K1845:K1846" si="343">HYPERLINK("https://ifttt.com","IFTTT")</f>
        <v>IFTTT</v>
      </c>
      <c r="L1845" s="13">
        <v>3113</v>
      </c>
      <c r="M1845" s="13">
        <v>3718</v>
      </c>
      <c r="N1845" s="13">
        <v>68</v>
      </c>
      <c r="O1845" s="15"/>
      <c r="P1845" s="6">
        <v>40964.394629629627</v>
      </c>
      <c r="Q1845" s="17" t="s">
        <v>2159</v>
      </c>
      <c r="R1845" s="16" t="s">
        <v>2160</v>
      </c>
      <c r="S1845" s="11" t="s">
        <v>2161</v>
      </c>
      <c r="T1845" s="12"/>
      <c r="U1845" s="10" t="str">
        <f t="shared" ref="U1845:U1846" si="344">HYPERLINK("https://pbs.twimg.com/profile_images/837040061870833666/XUkKbbB4.jpg","View")</f>
        <v>View</v>
      </c>
    </row>
    <row r="1846" spans="1:21" ht="40.799999999999997">
      <c r="A1846" s="6">
        <v>43422.994004629625</v>
      </c>
      <c r="B1846" s="7" t="str">
        <f t="shared" si="342"/>
        <v>@tio_chabo</v>
      </c>
      <c r="C1846" s="8" t="s">
        <v>2157</v>
      </c>
      <c r="D1846" s="9" t="s">
        <v>5452</v>
      </c>
      <c r="E1846" s="10" t="str">
        <f>HYPERLINK("https://twitter.com/tio_chabo/status/1064425887062474752","1064425887062474752")</f>
        <v>1064425887062474752</v>
      </c>
      <c r="F1846" s="11" t="s">
        <v>6433</v>
      </c>
      <c r="G1846" s="12"/>
      <c r="H1846" s="12"/>
      <c r="I1846" s="13">
        <v>0</v>
      </c>
      <c r="J1846" s="13">
        <v>0</v>
      </c>
      <c r="K1846" s="14" t="str">
        <f t="shared" si="343"/>
        <v>IFTTT</v>
      </c>
      <c r="L1846" s="13">
        <v>3113</v>
      </c>
      <c r="M1846" s="13">
        <v>3718</v>
      </c>
      <c r="N1846" s="13">
        <v>68</v>
      </c>
      <c r="O1846" s="15"/>
      <c r="P1846" s="6">
        <v>40964.394629629627</v>
      </c>
      <c r="Q1846" s="17" t="s">
        <v>2159</v>
      </c>
      <c r="R1846" s="16" t="s">
        <v>2160</v>
      </c>
      <c r="S1846" s="11" t="s">
        <v>2161</v>
      </c>
      <c r="T1846" s="12"/>
      <c r="U1846" s="10" t="str">
        <f t="shared" si="344"/>
        <v>View</v>
      </c>
    </row>
    <row r="1847" spans="1:21" ht="51">
      <c r="A1847" s="6">
        <v>43422.993680555555</v>
      </c>
      <c r="B1847" s="7" t="str">
        <f>HYPERLINK("https://twitter.com/jmaurab","@jmaurab")</f>
        <v>@jmaurab</v>
      </c>
      <c r="C1847" s="8" t="s">
        <v>6434</v>
      </c>
      <c r="D1847" s="9" t="s">
        <v>6435</v>
      </c>
      <c r="E1847" s="10" t="str">
        <f>HYPERLINK("https://twitter.com/jmaurab/status/1064425768997060608","1064425768997060608")</f>
        <v>1064425768997060608</v>
      </c>
      <c r="F1847" s="11" t="s">
        <v>6436</v>
      </c>
      <c r="G1847" s="12"/>
      <c r="H1847" s="12"/>
      <c r="I1847" s="13">
        <v>1</v>
      </c>
      <c r="J1847" s="13">
        <v>1</v>
      </c>
      <c r="K1847" s="14" t="str">
        <f>HYPERLINK("http://twitter.com","Twitter Web Client")</f>
        <v>Twitter Web Client</v>
      </c>
      <c r="L1847" s="13">
        <v>579</v>
      </c>
      <c r="M1847" s="13">
        <v>515</v>
      </c>
      <c r="N1847" s="13">
        <v>10</v>
      </c>
      <c r="O1847" s="15"/>
      <c r="P1847" s="6">
        <v>42125.309594907405</v>
      </c>
      <c r="Q1847" s="17" t="s">
        <v>6437</v>
      </c>
      <c r="R1847" s="16" t="s">
        <v>6438</v>
      </c>
      <c r="S1847" s="12"/>
      <c r="T1847" s="12"/>
      <c r="U1847" s="10" t="str">
        <f>HYPERLINK("https://pbs.twimg.com/profile_images/1006804499154038785/12oUvmE3.jpg","View")</f>
        <v>View</v>
      </c>
    </row>
    <row r="1848" spans="1:21" ht="30.6">
      <c r="A1848" s="6">
        <v>43422.992743055554</v>
      </c>
      <c r="B1848" s="7" t="str">
        <f>HYPERLINK("https://twitter.com/__f__m__b__","@__f__m__b__")</f>
        <v>@__f__m__b__</v>
      </c>
      <c r="C1848" s="8" t="s">
        <v>6439</v>
      </c>
      <c r="D1848" s="9" t="s">
        <v>6440</v>
      </c>
      <c r="E1848" s="10" t="str">
        <f>HYPERLINK("https://twitter.com/__f__m__b__/status/1064425431850512385","1064425431850512385")</f>
        <v>1064425431850512385</v>
      </c>
      <c r="F1848" s="11" t="s">
        <v>401</v>
      </c>
      <c r="G1848" s="12"/>
      <c r="H1848" s="12"/>
      <c r="I1848" s="13">
        <v>4</v>
      </c>
      <c r="J1848" s="13">
        <v>2</v>
      </c>
      <c r="K1848" s="14" t="str">
        <f>HYPERLINK("http://twitter.com/download/iphone","Twitter for iPhone")</f>
        <v>Twitter for iPhone</v>
      </c>
      <c r="L1848" s="13">
        <v>1215</v>
      </c>
      <c r="M1848" s="13">
        <v>1030</v>
      </c>
      <c r="N1848" s="13">
        <v>11</v>
      </c>
      <c r="O1848" s="15"/>
      <c r="P1848" s="6">
        <v>41940.459016203706</v>
      </c>
      <c r="Q1848" s="12"/>
      <c r="R1848" s="16" t="s">
        <v>6441</v>
      </c>
      <c r="S1848" s="12"/>
      <c r="T1848" s="12"/>
      <c r="U1848" s="10" t="str">
        <f>HYPERLINK("https://pbs.twimg.com/profile_images/864457198193082372/tfz2di_v.jpg","View")</f>
        <v>View</v>
      </c>
    </row>
    <row r="1849" spans="1:21" ht="40.799999999999997">
      <c r="A1849" s="6">
        <v>43422.992430555554</v>
      </c>
      <c r="B1849" s="7" t="str">
        <f>HYPERLINK("https://twitter.com/Sabrinaon","@Sabrinaon")</f>
        <v>@Sabrinaon</v>
      </c>
      <c r="C1849" s="8" t="s">
        <v>6442</v>
      </c>
      <c r="D1849" s="9" t="s">
        <v>6443</v>
      </c>
      <c r="E1849" s="10" t="str">
        <f>HYPERLINK("https://twitter.com/Sabrinaon/status/1064425319086678016","1064425319086678016")</f>
        <v>1064425319086678016</v>
      </c>
      <c r="F1849" s="11" t="s">
        <v>4961</v>
      </c>
      <c r="G1849" s="12"/>
      <c r="H1849" s="12"/>
      <c r="I1849" s="13">
        <v>2</v>
      </c>
      <c r="J1849" s="13">
        <v>1</v>
      </c>
      <c r="K1849" s="14" t="str">
        <f>HYPERLINK("http://twitter.com/download/android","Twitter for Android")</f>
        <v>Twitter for Android</v>
      </c>
      <c r="L1849" s="13">
        <v>2659</v>
      </c>
      <c r="M1849" s="13">
        <v>2570</v>
      </c>
      <c r="N1849" s="13">
        <v>167</v>
      </c>
      <c r="O1849" s="15"/>
      <c r="P1849" s="6">
        <v>40542.541886574072</v>
      </c>
      <c r="Q1849" s="17" t="s">
        <v>430</v>
      </c>
      <c r="R1849" s="16" t="s">
        <v>6444</v>
      </c>
      <c r="S1849" s="12"/>
      <c r="T1849" s="12"/>
      <c r="U1849" s="10" t="str">
        <f>HYPERLINK("https://pbs.twimg.com/profile_images/929013542677876736/wjW7JZRR.jpg","View")</f>
        <v>View</v>
      </c>
    </row>
    <row r="1850" spans="1:21" ht="30.6">
      <c r="A1850" s="6">
        <v>43422.988344907411</v>
      </c>
      <c r="B1850" s="7" t="str">
        <f>HYPERLINK("https://twitter.com/Fernandoo461","@Fernandoo461")</f>
        <v>@Fernandoo461</v>
      </c>
      <c r="C1850" s="8" t="s">
        <v>3094</v>
      </c>
      <c r="D1850" s="9" t="s">
        <v>6445</v>
      </c>
      <c r="E1850" s="10" t="str">
        <f>HYPERLINK("https://twitter.com/Fernandoo461/status/1064423838056878081","1064423838056878081")</f>
        <v>1064423838056878081</v>
      </c>
      <c r="F1850" s="12"/>
      <c r="G1850" s="12"/>
      <c r="H1850" s="12"/>
      <c r="I1850" s="13">
        <v>0</v>
      </c>
      <c r="J1850" s="13">
        <v>0</v>
      </c>
      <c r="K1850" s="14" t="str">
        <f t="shared" ref="K1850:K1852" si="345">HYPERLINK("http://twitter.com","Twitter Web Client")</f>
        <v>Twitter Web Client</v>
      </c>
      <c r="L1850" s="13">
        <v>2973</v>
      </c>
      <c r="M1850" s="13">
        <v>2733</v>
      </c>
      <c r="N1850" s="13">
        <v>35</v>
      </c>
      <c r="O1850" s="15"/>
      <c r="P1850" s="6">
        <v>39426.550173611111</v>
      </c>
      <c r="Q1850" s="17" t="s">
        <v>6446</v>
      </c>
      <c r="R1850" s="16" t="s">
        <v>6447</v>
      </c>
      <c r="S1850" s="12"/>
      <c r="T1850" s="12"/>
      <c r="U1850" s="10" t="str">
        <f>HYPERLINK("https://pbs.twimg.com/profile_images/1011284812479516673/BTclis6Q.jpg","View")</f>
        <v>View</v>
      </c>
    </row>
    <row r="1851" spans="1:21" ht="13.2">
      <c r="A1851" s="6">
        <v>43422.984525462962</v>
      </c>
      <c r="B1851" s="7" t="str">
        <f>HYPERLINK("https://twitter.com/fcantero","@fcantero")</f>
        <v>@fcantero</v>
      </c>
      <c r="C1851" s="8" t="s">
        <v>899</v>
      </c>
      <c r="D1851" s="9" t="s">
        <v>6185</v>
      </c>
      <c r="E1851" s="10" t="str">
        <f>HYPERLINK("https://twitter.com/fcantero/status/1064422454225981440","1064422454225981440")</f>
        <v>1064422454225981440</v>
      </c>
      <c r="F1851" s="11" t="s">
        <v>5997</v>
      </c>
      <c r="G1851" s="12"/>
      <c r="H1851" s="12"/>
      <c r="I1851" s="13">
        <v>0</v>
      </c>
      <c r="J1851" s="13">
        <v>0</v>
      </c>
      <c r="K1851" s="14" t="str">
        <f t="shared" si="345"/>
        <v>Twitter Web Client</v>
      </c>
      <c r="L1851" s="13">
        <v>8554</v>
      </c>
      <c r="M1851" s="13">
        <v>8370</v>
      </c>
      <c r="N1851" s="13">
        <v>99</v>
      </c>
      <c r="O1851" s="15"/>
      <c r="P1851" s="6">
        <v>39796.358831018515</v>
      </c>
      <c r="Q1851" s="17" t="s">
        <v>902</v>
      </c>
      <c r="R1851" s="16" t="s">
        <v>903</v>
      </c>
      <c r="S1851" s="12"/>
      <c r="T1851" s="12"/>
      <c r="U1851" s="10" t="str">
        <f>HYPERLINK("https://pbs.twimg.com/profile_images/720734608359309312/GSI4y0kg.jpg","View")</f>
        <v>View</v>
      </c>
    </row>
    <row r="1852" spans="1:21" ht="51">
      <c r="A1852" s="6">
        <v>43422.984178240746</v>
      </c>
      <c r="B1852" s="7" t="str">
        <f>HYPERLINK("https://twitter.com/trespies3","@trespies3")</f>
        <v>@trespies3</v>
      </c>
      <c r="C1852" s="8" t="s">
        <v>4663</v>
      </c>
      <c r="D1852" s="9" t="s">
        <v>6448</v>
      </c>
      <c r="E1852" s="10" t="str">
        <f>HYPERLINK("https://twitter.com/trespies3/status/1064422327885201408","1064422327885201408")</f>
        <v>1064422327885201408</v>
      </c>
      <c r="F1852" s="17" t="s">
        <v>6449</v>
      </c>
      <c r="G1852" s="12"/>
      <c r="H1852" s="12"/>
      <c r="I1852" s="13">
        <v>0</v>
      </c>
      <c r="J1852" s="13">
        <v>0</v>
      </c>
      <c r="K1852" s="14" t="str">
        <f t="shared" si="345"/>
        <v>Twitter Web Client</v>
      </c>
      <c r="L1852" s="13">
        <v>1243</v>
      </c>
      <c r="M1852" s="13">
        <v>1020</v>
      </c>
      <c r="N1852" s="13">
        <v>32</v>
      </c>
      <c r="O1852" s="15"/>
      <c r="P1852" s="6">
        <v>40651.993356481486</v>
      </c>
      <c r="Q1852" s="12"/>
      <c r="R1852" s="18"/>
      <c r="S1852" s="12"/>
      <c r="T1852" s="12"/>
      <c r="U1852" s="10" t="str">
        <f>HYPERLINK("https://pbs.twimg.com/profile_images/798789089231126528/FpLgeWey.jpg","View")</f>
        <v>View</v>
      </c>
    </row>
    <row r="1853" spans="1:21" ht="40.799999999999997">
      <c r="A1853" s="6">
        <v>43422.982002314813</v>
      </c>
      <c r="B1853" s="7" t="str">
        <f>HYPERLINK("https://twitter.com/Miguelcanetfem5","@Miguelcanetfem5")</f>
        <v>@Miguelcanetfem5</v>
      </c>
      <c r="C1853" s="8" t="s">
        <v>6415</v>
      </c>
      <c r="D1853" s="9" t="s">
        <v>6450</v>
      </c>
      <c r="E1853" s="10" t="str">
        <f>HYPERLINK("https://twitter.com/Miguelcanetfem5/status/1064421536977903616","1064421536977903616")</f>
        <v>1064421536977903616</v>
      </c>
      <c r="F1853" s="12"/>
      <c r="G1853" s="11" t="s">
        <v>6451</v>
      </c>
      <c r="H1853" s="12"/>
      <c r="I1853" s="13">
        <v>0</v>
      </c>
      <c r="J1853" s="13">
        <v>0</v>
      </c>
      <c r="K1853" s="14" t="str">
        <f>HYPERLINK("http://twitter.com/download/android","Twitter for Android")</f>
        <v>Twitter for Android</v>
      </c>
      <c r="L1853" s="13">
        <v>417</v>
      </c>
      <c r="M1853" s="13">
        <v>451</v>
      </c>
      <c r="N1853" s="13">
        <v>2</v>
      </c>
      <c r="O1853" s="15"/>
      <c r="P1853" s="6">
        <v>43171.024363425924</v>
      </c>
      <c r="Q1853" s="17" t="s">
        <v>6418</v>
      </c>
      <c r="R1853" s="16" t="s">
        <v>6419</v>
      </c>
      <c r="S1853" s="12"/>
      <c r="T1853" s="12"/>
      <c r="U1853" s="10" t="str">
        <f>HYPERLINK("https://pbs.twimg.com/profile_images/1051516935995834369/OiiarvFE.jpg","View")</f>
        <v>View</v>
      </c>
    </row>
    <row r="1854" spans="1:21" ht="40.799999999999997">
      <c r="A1854" s="6">
        <v>43422.981747685189</v>
      </c>
      <c r="B1854" s="7" t="str">
        <f>HYPERLINK("https://twitter.com/Corruptil","@Corruptil")</f>
        <v>@Corruptil</v>
      </c>
      <c r="C1854" s="8" t="s">
        <v>6452</v>
      </c>
      <c r="D1854" s="9" t="s">
        <v>6453</v>
      </c>
      <c r="E1854" s="10" t="str">
        <f>HYPERLINK("https://twitter.com/Corruptil/status/1064421445852426241","1064421445852426241")</f>
        <v>1064421445852426241</v>
      </c>
      <c r="F1854" s="11" t="s">
        <v>320</v>
      </c>
      <c r="G1854" s="12"/>
      <c r="H1854" s="12"/>
      <c r="I1854" s="13">
        <v>7</v>
      </c>
      <c r="J1854" s="13">
        <v>4</v>
      </c>
      <c r="K1854" s="14" t="str">
        <f>HYPERLINK("http://www.facebook.com/twitter","Facebook")</f>
        <v>Facebook</v>
      </c>
      <c r="L1854" s="13">
        <v>1973</v>
      </c>
      <c r="M1854" s="13">
        <v>515</v>
      </c>
      <c r="N1854" s="13">
        <v>39</v>
      </c>
      <c r="O1854" s="15"/>
      <c r="P1854" s="6">
        <v>41904.381481481483</v>
      </c>
      <c r="Q1854" s="17" t="s">
        <v>29</v>
      </c>
      <c r="R1854" s="16" t="s">
        <v>6454</v>
      </c>
      <c r="S1854" s="11" t="s">
        <v>6455</v>
      </c>
      <c r="T1854" s="12"/>
      <c r="U1854" s="10" t="str">
        <f>HYPERLINK("https://pbs.twimg.com/profile_images/514087306534211584/GjrRElz5.png","View")</f>
        <v>View</v>
      </c>
    </row>
    <row r="1855" spans="1:21" ht="20.399999999999999">
      <c r="A1855" s="6">
        <v>43422.980578703704</v>
      </c>
      <c r="B1855" s="7" t="str">
        <f>HYPERLINK("https://twitter.com/maguva1","@maguva1")</f>
        <v>@maguva1</v>
      </c>
      <c r="C1855" s="8" t="s">
        <v>6456</v>
      </c>
      <c r="D1855" s="9" t="s">
        <v>3900</v>
      </c>
      <c r="E1855" s="10" t="str">
        <f>HYPERLINK("https://twitter.com/maguva1/status/1064421022877843456","1064421022877843456")</f>
        <v>1064421022877843456</v>
      </c>
      <c r="F1855" s="11" t="s">
        <v>320</v>
      </c>
      <c r="G1855" s="12"/>
      <c r="H1855" s="12"/>
      <c r="I1855" s="13">
        <v>0</v>
      </c>
      <c r="J1855" s="13">
        <v>1</v>
      </c>
      <c r="K1855" s="14" t="str">
        <f t="shared" ref="K1855:K1856" si="346">HYPERLINK("http://twitter.com/download/iphone","Twitter for iPhone")</f>
        <v>Twitter for iPhone</v>
      </c>
      <c r="L1855" s="13">
        <v>670</v>
      </c>
      <c r="M1855" s="13">
        <v>1474</v>
      </c>
      <c r="N1855" s="13">
        <v>10</v>
      </c>
      <c r="O1855" s="15"/>
      <c r="P1855" s="6">
        <v>41380.600578703699</v>
      </c>
      <c r="Q1855" s="17" t="s">
        <v>87</v>
      </c>
      <c r="R1855" s="18"/>
      <c r="S1855" s="12"/>
      <c r="T1855" s="12"/>
      <c r="U1855" s="10" t="str">
        <f>HYPERLINK("https://pbs.twimg.com/profile_images/514519154036973568/nnxp85xc.jpeg","View")</f>
        <v>View</v>
      </c>
    </row>
    <row r="1856" spans="1:21" ht="30.6">
      <c r="A1856" s="6">
        <v>43422.980300925927</v>
      </c>
      <c r="B1856" s="7" t="str">
        <f>HYPERLINK("https://twitter.com/EnneiradReklaw","@EnneiradReklaw")</f>
        <v>@EnneiradReklaw</v>
      </c>
      <c r="C1856" s="8" t="s">
        <v>6457</v>
      </c>
      <c r="D1856" s="9" t="s">
        <v>6458</v>
      </c>
      <c r="E1856" s="10" t="str">
        <f>HYPERLINK("https://twitter.com/EnneiradReklaw/status/1064420922839523329","1064420922839523329")</f>
        <v>1064420922839523329</v>
      </c>
      <c r="F1856" s="11" t="s">
        <v>4961</v>
      </c>
      <c r="G1856" s="12"/>
      <c r="H1856" s="12"/>
      <c r="I1856" s="13">
        <v>0</v>
      </c>
      <c r="J1856" s="13">
        <v>0</v>
      </c>
      <c r="K1856" s="14" t="str">
        <f t="shared" si="346"/>
        <v>Twitter for iPhone</v>
      </c>
      <c r="L1856" s="13">
        <v>512</v>
      </c>
      <c r="M1856" s="13">
        <v>1241</v>
      </c>
      <c r="N1856" s="13">
        <v>6</v>
      </c>
      <c r="O1856" s="15"/>
      <c r="P1856" s="6">
        <v>42709.511423611111</v>
      </c>
      <c r="Q1856" s="17" t="s">
        <v>1579</v>
      </c>
      <c r="R1856" s="16" t="s">
        <v>6459</v>
      </c>
      <c r="S1856" s="11" t="s">
        <v>6460</v>
      </c>
      <c r="T1856" s="12"/>
      <c r="U1856" s="10" t="str">
        <f>HYPERLINK("https://pbs.twimg.com/profile_images/966725648566845440/vZ9njME1.jpg","View")</f>
        <v>View</v>
      </c>
    </row>
    <row r="1857" spans="1:21" ht="30.6">
      <c r="A1857" s="6">
        <v>43422.979432870372</v>
      </c>
      <c r="B1857" s="7" t="str">
        <f>HYPERLINK("https://twitter.com/NuevaRevoluci0n","@NuevaRevoluci0n")</f>
        <v>@NuevaRevoluci0n</v>
      </c>
      <c r="C1857" s="20" t="s">
        <v>5061</v>
      </c>
      <c r="D1857" s="9" t="s">
        <v>5062</v>
      </c>
      <c r="E1857" s="10" t="str">
        <f>HYPERLINK("https://twitter.com/NuevaRevoluci0n/status/1064420608061128704","1064420608061128704")</f>
        <v>1064420608061128704</v>
      </c>
      <c r="F1857" s="11" t="s">
        <v>5063</v>
      </c>
      <c r="G1857" s="12"/>
      <c r="H1857" s="12"/>
      <c r="I1857" s="13">
        <v>1</v>
      </c>
      <c r="J1857" s="13">
        <v>0</v>
      </c>
      <c r="K1857" s="14" t="str">
        <f>HYPERLINK("https://buffer.com","Buffer")</f>
        <v>Buffer</v>
      </c>
      <c r="L1857" s="13">
        <v>23287</v>
      </c>
      <c r="M1857" s="13">
        <v>1886</v>
      </c>
      <c r="N1857" s="13">
        <v>352</v>
      </c>
      <c r="O1857" s="15"/>
      <c r="P1857" s="6">
        <v>41990.648240740746</v>
      </c>
      <c r="Q1857" s="17" t="s">
        <v>5064</v>
      </c>
      <c r="R1857" s="16" t="s">
        <v>5065</v>
      </c>
      <c r="S1857" s="11" t="s">
        <v>5066</v>
      </c>
      <c r="T1857" s="12"/>
      <c r="U1857" s="10" t="str">
        <f>HYPERLINK("https://pbs.twimg.com/profile_images/1012299127223439363/5rGUjnKV.jpg","View")</f>
        <v>View</v>
      </c>
    </row>
    <row r="1858" spans="1:21" ht="20.399999999999999">
      <c r="A1858" s="6">
        <v>43422.979351851856</v>
      </c>
      <c r="B1858" s="7" t="str">
        <f>HYPERLINK("https://twitter.com/onlyrocknrose","@onlyrocknrose")</f>
        <v>@onlyrocknrose</v>
      </c>
      <c r="C1858" s="8" t="s">
        <v>6461</v>
      </c>
      <c r="D1858" s="9" t="s">
        <v>6462</v>
      </c>
      <c r="E1858" s="10" t="str">
        <f>HYPERLINK("https://twitter.com/onlyrocknrose/status/1064420578461970432","1064420578461970432")</f>
        <v>1064420578461970432</v>
      </c>
      <c r="F1858" s="11" t="s">
        <v>320</v>
      </c>
      <c r="G1858" s="12"/>
      <c r="H1858" s="12"/>
      <c r="I1858" s="13">
        <v>0</v>
      </c>
      <c r="J1858" s="13">
        <v>0</v>
      </c>
      <c r="K1858" s="14" t="str">
        <f>HYPERLINK("http://twitter.com/download/iphone","Twitter for iPhone")</f>
        <v>Twitter for iPhone</v>
      </c>
      <c r="L1858" s="13">
        <v>979</v>
      </c>
      <c r="M1858" s="13">
        <v>1152</v>
      </c>
      <c r="N1858" s="13">
        <v>0</v>
      </c>
      <c r="O1858" s="15"/>
      <c r="P1858" s="6">
        <v>42401.536597222221</v>
      </c>
      <c r="Q1858" s="12"/>
      <c r="R1858" s="16" t="s">
        <v>6463</v>
      </c>
      <c r="S1858" s="12"/>
      <c r="T1858" s="12"/>
      <c r="U1858" s="10" t="str">
        <f>HYPERLINK("https://pbs.twimg.com/profile_images/1054376790725140481/KogaK1xr.jpg","View")</f>
        <v>View</v>
      </c>
    </row>
    <row r="1859" spans="1:21" ht="40.799999999999997">
      <c r="A1859" s="6">
        <v>43422.976145833338</v>
      </c>
      <c r="B1859" s="7" t="str">
        <f>HYPERLINK("https://twitter.com/VeoInfo_","@VeoInfo_")</f>
        <v>@VeoInfo_</v>
      </c>
      <c r="C1859" s="8" t="s">
        <v>517</v>
      </c>
      <c r="D1859" s="9" t="s">
        <v>6431</v>
      </c>
      <c r="E1859" s="10" t="str">
        <f>HYPERLINK("https://twitter.com/VeoInfo_/status/1064419416690106370","1064419416690106370")</f>
        <v>1064419416690106370</v>
      </c>
      <c r="F1859" s="11" t="s">
        <v>6464</v>
      </c>
      <c r="G1859" s="11" t="s">
        <v>6465</v>
      </c>
      <c r="H1859" s="12"/>
      <c r="I1859" s="13">
        <v>0</v>
      </c>
      <c r="J1859" s="13">
        <v>0</v>
      </c>
      <c r="K1859" s="14" t="str">
        <f>HYPERLINK("http://publicize.wp.com/","WordPress.com")</f>
        <v>WordPress.com</v>
      </c>
      <c r="L1859" s="13">
        <v>1135</v>
      </c>
      <c r="M1859" s="13">
        <v>1139</v>
      </c>
      <c r="N1859" s="13">
        <v>36</v>
      </c>
      <c r="O1859" s="15"/>
      <c r="P1859" s="6">
        <v>41880.726840277777</v>
      </c>
      <c r="Q1859" s="17" t="s">
        <v>520</v>
      </c>
      <c r="R1859" s="16" t="s">
        <v>521</v>
      </c>
      <c r="S1859" s="11" t="s">
        <v>522</v>
      </c>
      <c r="T1859" s="12"/>
      <c r="U1859" s="10" t="str">
        <f>HYPERLINK("https://pbs.twimg.com/profile_images/601509372305485827/Val0dfGy.png","View")</f>
        <v>View</v>
      </c>
    </row>
    <row r="1860" spans="1:21" ht="30.6">
      <c r="A1860" s="6">
        <v>43422.97587962963</v>
      </c>
      <c r="B1860" s="7" t="str">
        <f>HYPERLINK("https://twitter.com/DeMeison","@DeMeison")</f>
        <v>@DeMeison</v>
      </c>
      <c r="C1860" s="8" t="s">
        <v>2457</v>
      </c>
      <c r="D1860" s="9" t="s">
        <v>6466</v>
      </c>
      <c r="E1860" s="10" t="str">
        <f>HYPERLINK("https://twitter.com/DeMeison/status/1064419319357022214","1064419319357022214")</f>
        <v>1064419319357022214</v>
      </c>
      <c r="F1860" s="12"/>
      <c r="G1860" s="11" t="s">
        <v>6467</v>
      </c>
      <c r="H1860" s="12"/>
      <c r="I1860" s="13">
        <v>1</v>
      </c>
      <c r="J1860" s="13">
        <v>6</v>
      </c>
      <c r="K1860" s="14" t="str">
        <f>HYPERLINK("http://twitter.com/download/android","Twitter for Android")</f>
        <v>Twitter for Android</v>
      </c>
      <c r="L1860" s="13">
        <v>1567</v>
      </c>
      <c r="M1860" s="13">
        <v>1236</v>
      </c>
      <c r="N1860" s="13">
        <v>24</v>
      </c>
      <c r="O1860" s="15"/>
      <c r="P1860" s="6">
        <v>40711.443657407406</v>
      </c>
      <c r="Q1860" s="17" t="s">
        <v>2460</v>
      </c>
      <c r="R1860" s="16" t="s">
        <v>2461</v>
      </c>
      <c r="S1860" s="12"/>
      <c r="T1860" s="12"/>
      <c r="U1860" s="10" t="str">
        <f>HYPERLINK("https://pbs.twimg.com/profile_images/924658553121640448/v126-zQr.jpg","View")</f>
        <v>View</v>
      </c>
    </row>
    <row r="1861" spans="1:21" ht="40.799999999999997">
      <c r="A1861" s="6">
        <v>43422.973067129627</v>
      </c>
      <c r="B1861" s="7" t="str">
        <f>HYPERLINK("https://twitter.com/rosamariaartal","@rosamariaartal")</f>
        <v>@rosamariaartal</v>
      </c>
      <c r="C1861" s="8" t="s">
        <v>1037</v>
      </c>
      <c r="D1861" s="9" t="s">
        <v>6468</v>
      </c>
      <c r="E1861" s="10" t="str">
        <f>HYPERLINK("https://twitter.com/rosamariaartal/status/1064418299600125952","1064418299600125952")</f>
        <v>1064418299600125952</v>
      </c>
      <c r="F1861" s="11" t="s">
        <v>5087</v>
      </c>
      <c r="G1861" s="12"/>
      <c r="H1861" s="12"/>
      <c r="I1861" s="13">
        <v>8</v>
      </c>
      <c r="J1861" s="13">
        <v>3</v>
      </c>
      <c r="K1861" s="14" t="str">
        <f>HYPERLINK("http://twitter.com","Twitter Web Client")</f>
        <v>Twitter Web Client</v>
      </c>
      <c r="L1861" s="13">
        <v>103731</v>
      </c>
      <c r="M1861" s="13">
        <v>3006</v>
      </c>
      <c r="N1861" s="13">
        <v>2702</v>
      </c>
      <c r="O1861" s="15"/>
      <c r="P1861" s="6">
        <v>40094.444687499999</v>
      </c>
      <c r="Q1861" s="17" t="s">
        <v>203</v>
      </c>
      <c r="R1861" s="16" t="s">
        <v>1039</v>
      </c>
      <c r="S1861" s="11" t="s">
        <v>1040</v>
      </c>
      <c r="T1861" s="12"/>
      <c r="U1861" s="10" t="str">
        <f>HYPERLINK("https://pbs.twimg.com/profile_images/780888265238974464/fOR4WuD5.jpg","View")</f>
        <v>View</v>
      </c>
    </row>
    <row r="1862" spans="1:21" ht="30.6">
      <c r="A1862" s="6">
        <v>43422.972604166665</v>
      </c>
      <c r="B1862" s="7" t="str">
        <f>HYPERLINK("https://twitter.com/que_rule","@que_rule")</f>
        <v>@que_rule</v>
      </c>
      <c r="C1862" s="8" t="s">
        <v>6469</v>
      </c>
      <c r="D1862" s="9" t="s">
        <v>6470</v>
      </c>
      <c r="E1862" s="10" t="str">
        <f>HYPERLINK("https://twitter.com/que_rule/status/1064418134101319680","1064418134101319680")</f>
        <v>1064418134101319680</v>
      </c>
      <c r="F1862" s="12"/>
      <c r="G1862" s="11" t="s">
        <v>6471</v>
      </c>
      <c r="H1862" s="12"/>
      <c r="I1862" s="13">
        <v>5</v>
      </c>
      <c r="J1862" s="13">
        <v>13</v>
      </c>
      <c r="K1862" s="14" t="str">
        <f t="shared" ref="K1862:K1863" si="347">HYPERLINK("http://twitter.com/download/android","Twitter for Android")</f>
        <v>Twitter for Android</v>
      </c>
      <c r="L1862" s="13">
        <v>4795</v>
      </c>
      <c r="M1862" s="13">
        <v>153</v>
      </c>
      <c r="N1862" s="13">
        <v>91</v>
      </c>
      <c r="O1862" s="15"/>
      <c r="P1862" s="6">
        <v>42110.366967592592</v>
      </c>
      <c r="Q1862" s="17" t="s">
        <v>2963</v>
      </c>
      <c r="R1862" s="16" t="s">
        <v>6472</v>
      </c>
      <c r="S1862" s="12"/>
      <c r="T1862" s="12"/>
      <c r="U1862" s="10" t="str">
        <f>HYPERLINK("https://pbs.twimg.com/profile_images/1057897878885203968/xZO7N52k.jpg","View")</f>
        <v>View</v>
      </c>
    </row>
    <row r="1863" spans="1:21" ht="40.799999999999997">
      <c r="A1863" s="6">
        <v>43422.971805555557</v>
      </c>
      <c r="B1863" s="7" t="str">
        <f>HYPERLINK("https://twitter.com/ElGollumFumeta","@ElGollumFumeta")</f>
        <v>@ElGollumFumeta</v>
      </c>
      <c r="C1863" s="8" t="s">
        <v>5587</v>
      </c>
      <c r="D1863" s="9" t="s">
        <v>6473</v>
      </c>
      <c r="E1863" s="10" t="str">
        <f>HYPERLINK("https://twitter.com/ElGollumFumeta/status/1064417842819411968","1064417842819411968")</f>
        <v>1064417842819411968</v>
      </c>
      <c r="F1863" s="12"/>
      <c r="G1863" s="12"/>
      <c r="H1863" s="12"/>
      <c r="I1863" s="13">
        <v>0</v>
      </c>
      <c r="J1863" s="13">
        <v>0</v>
      </c>
      <c r="K1863" s="14" t="str">
        <f t="shared" si="347"/>
        <v>Twitter for Android</v>
      </c>
      <c r="L1863" s="13">
        <v>711</v>
      </c>
      <c r="M1863" s="13">
        <v>513</v>
      </c>
      <c r="N1863" s="13">
        <v>14</v>
      </c>
      <c r="O1863" s="15"/>
      <c r="P1863" s="6">
        <v>41932.239259259259</v>
      </c>
      <c r="Q1863" s="17" t="s">
        <v>5589</v>
      </c>
      <c r="R1863" s="16" t="s">
        <v>5590</v>
      </c>
      <c r="S1863" s="12"/>
      <c r="T1863" s="12"/>
      <c r="U1863" s="10" t="str">
        <f>HYPERLINK("https://pbs.twimg.com/profile_images/935571951589916673/0aZT5Ck3.jpg","View")</f>
        <v>View</v>
      </c>
    </row>
    <row r="1864" spans="1:21" ht="51">
      <c r="A1864" s="6">
        <v>43422.970266203702</v>
      </c>
      <c r="B1864" s="7" t="str">
        <f>HYPERLINK("https://twitter.com/fbenitezreyes","@fbenitezreyes")</f>
        <v>@fbenitezreyes</v>
      </c>
      <c r="C1864" s="8" t="s">
        <v>6474</v>
      </c>
      <c r="D1864" s="9" t="s">
        <v>6475</v>
      </c>
      <c r="E1864" s="10" t="str">
        <f>HYPERLINK("https://twitter.com/fbenitezreyes/status/1064417285098692608","1064417285098692608")</f>
        <v>1064417285098692608</v>
      </c>
      <c r="F1864" s="12"/>
      <c r="G1864" s="12"/>
      <c r="H1864" s="12"/>
      <c r="I1864" s="13">
        <v>3</v>
      </c>
      <c r="J1864" s="13">
        <v>29</v>
      </c>
      <c r="K1864" s="14" t="str">
        <f>HYPERLINK("http://twitter.com","Twitter Web Client")</f>
        <v>Twitter Web Client</v>
      </c>
      <c r="L1864" s="13">
        <v>4569</v>
      </c>
      <c r="M1864" s="13">
        <v>2733</v>
      </c>
      <c r="N1864" s="13">
        <v>73</v>
      </c>
      <c r="O1864" s="15"/>
      <c r="P1864" s="6">
        <v>41337.021863425922</v>
      </c>
      <c r="Q1864" s="12"/>
      <c r="R1864" s="16" t="s">
        <v>269</v>
      </c>
      <c r="S1864" s="11" t="s">
        <v>6476</v>
      </c>
      <c r="T1864" s="12"/>
      <c r="U1864" s="10" t="str">
        <f>HYPERLINK("https://pbs.twimg.com/profile_images/3337002502/36f3f67dc39b2509c8b3a73828176d4e.jpeg","View")</f>
        <v>View</v>
      </c>
    </row>
    <row r="1865" spans="1:21" ht="40.799999999999997">
      <c r="A1865" s="6">
        <v>43422.969976851848</v>
      </c>
      <c r="B1865" s="7" t="str">
        <f>HYPERLINK("https://twitter.com/korngan","@korngan")</f>
        <v>@korngan</v>
      </c>
      <c r="C1865" s="8" t="s">
        <v>6477</v>
      </c>
      <c r="D1865" s="9" t="s">
        <v>6478</v>
      </c>
      <c r="E1865" s="10" t="str">
        <f>HYPERLINK("https://twitter.com/korngan/status/1064417179293102080","1064417179293102080")</f>
        <v>1064417179293102080</v>
      </c>
      <c r="F1865" s="12"/>
      <c r="G1865" s="11" t="s">
        <v>6479</v>
      </c>
      <c r="H1865" s="12"/>
      <c r="I1865" s="13">
        <v>0</v>
      </c>
      <c r="J1865" s="13">
        <v>4</v>
      </c>
      <c r="K1865" s="14" t="str">
        <f>HYPERLINK("http://twitter.com/download/iphone","Twitter for iPhone")</f>
        <v>Twitter for iPhone</v>
      </c>
      <c r="L1865" s="13">
        <v>828</v>
      </c>
      <c r="M1865" s="13">
        <v>869</v>
      </c>
      <c r="N1865" s="13">
        <v>15</v>
      </c>
      <c r="O1865" s="15"/>
      <c r="P1865" s="6">
        <v>40433.985150462962</v>
      </c>
      <c r="Q1865" s="17" t="s">
        <v>6480</v>
      </c>
      <c r="R1865" s="16" t="s">
        <v>6481</v>
      </c>
      <c r="S1865" s="12"/>
      <c r="T1865" s="12"/>
      <c r="U1865" s="10" t="str">
        <f>HYPERLINK("https://pbs.twimg.com/profile_images/955474988445859840/qfXjmiad.jpg","View")</f>
        <v>View</v>
      </c>
    </row>
    <row r="1866" spans="1:21" ht="20.399999999999999">
      <c r="A1866" s="6">
        <v>43422.969942129625</v>
      </c>
      <c r="B1866" s="7" t="str">
        <f>HYPERLINK("https://twitter.com/corsario_69","@corsario_69")</f>
        <v>@corsario_69</v>
      </c>
      <c r="C1866" s="8" t="s">
        <v>6482</v>
      </c>
      <c r="D1866" s="9" t="s">
        <v>6483</v>
      </c>
      <c r="E1866" s="10" t="str">
        <f>HYPERLINK("https://twitter.com/corsario_69/status/1064417168488566784","1064417168488566784")</f>
        <v>1064417168488566784</v>
      </c>
      <c r="F1866" s="11" t="s">
        <v>6484</v>
      </c>
      <c r="G1866" s="12"/>
      <c r="H1866" s="12"/>
      <c r="I1866" s="13">
        <v>0</v>
      </c>
      <c r="J1866" s="13">
        <v>0</v>
      </c>
      <c r="K1866" s="14" t="str">
        <f t="shared" ref="K1866:K1867" si="348">HYPERLINK("http://twitter.com","Twitter Web Client")</f>
        <v>Twitter Web Client</v>
      </c>
      <c r="L1866" s="13">
        <v>141</v>
      </c>
      <c r="M1866" s="13">
        <v>113</v>
      </c>
      <c r="N1866" s="13">
        <v>2</v>
      </c>
      <c r="O1866" s="15"/>
      <c r="P1866" s="6">
        <v>40840.438483796301</v>
      </c>
      <c r="Q1866" s="17" t="s">
        <v>1325</v>
      </c>
      <c r="R1866" s="16" t="s">
        <v>6485</v>
      </c>
      <c r="S1866" s="12"/>
      <c r="T1866" s="12"/>
      <c r="U1866" s="10" t="str">
        <f>HYPERLINK("https://pbs.twimg.com/profile_images/490399070473560064/SVWQuxa9.jpeg","View")</f>
        <v>View</v>
      </c>
    </row>
    <row r="1867" spans="1:21" ht="20.399999999999999">
      <c r="A1867" s="6">
        <v>43422.966979166667</v>
      </c>
      <c r="B1867" s="7" t="str">
        <f>HYPERLINK("https://twitter.com/ibirque","@ibirque")</f>
        <v>@ibirque</v>
      </c>
      <c r="C1867" s="8" t="s">
        <v>6486</v>
      </c>
      <c r="D1867" s="9" t="s">
        <v>6487</v>
      </c>
      <c r="E1867" s="10" t="str">
        <f>HYPERLINK("https://twitter.com/ibirque/status/1064416095166181378","1064416095166181378")</f>
        <v>1064416095166181378</v>
      </c>
      <c r="F1867" s="11" t="s">
        <v>5087</v>
      </c>
      <c r="G1867" s="12"/>
      <c r="H1867" s="12"/>
      <c r="I1867" s="13">
        <v>0</v>
      </c>
      <c r="J1867" s="13">
        <v>0</v>
      </c>
      <c r="K1867" s="14" t="str">
        <f t="shared" si="348"/>
        <v>Twitter Web Client</v>
      </c>
      <c r="L1867" s="13">
        <v>1531</v>
      </c>
      <c r="M1867" s="13">
        <v>1146</v>
      </c>
      <c r="N1867" s="13">
        <v>129</v>
      </c>
      <c r="O1867" s="15"/>
      <c r="P1867" s="6">
        <v>39205.356550925928</v>
      </c>
      <c r="Q1867" s="17" t="s">
        <v>6488</v>
      </c>
      <c r="R1867" s="16" t="s">
        <v>6489</v>
      </c>
      <c r="S1867" s="11" t="s">
        <v>6490</v>
      </c>
      <c r="T1867" s="12"/>
      <c r="U1867" s="10" t="str">
        <f>HYPERLINK("https://pbs.twimg.com/profile_images/879245393577607168/lfWzf_b-.jpg","View")</f>
        <v>View</v>
      </c>
    </row>
    <row r="1868" spans="1:21" ht="20.399999999999999">
      <c r="A1868" s="6">
        <v>43422.963923611111</v>
      </c>
      <c r="B1868" s="7" t="str">
        <f>HYPERLINK("https://twitter.com/andresgil","@andresgil")</f>
        <v>@andresgil</v>
      </c>
      <c r="C1868" s="8" t="s">
        <v>6491</v>
      </c>
      <c r="D1868" s="9" t="s">
        <v>5452</v>
      </c>
      <c r="E1868" s="10" t="str">
        <f>HYPERLINK("https://twitter.com/andresgil/status/1064414986448060417","1064414986448060417")</f>
        <v>1064414986448060417</v>
      </c>
      <c r="F1868" s="11" t="s">
        <v>5087</v>
      </c>
      <c r="G1868" s="12"/>
      <c r="H1868" s="12"/>
      <c r="I1868" s="13">
        <v>3</v>
      </c>
      <c r="J1868" s="13">
        <v>1</v>
      </c>
      <c r="K1868" s="14" t="str">
        <f t="shared" ref="K1868:K1869" si="349">HYPERLINK("http://twitter.com/download/iphone","Twitter for iPhone")</f>
        <v>Twitter for iPhone</v>
      </c>
      <c r="L1868" s="13">
        <v>12987</v>
      </c>
      <c r="M1868" s="13">
        <v>2323</v>
      </c>
      <c r="N1868" s="13">
        <v>329</v>
      </c>
      <c r="O1868" s="15"/>
      <c r="P1868" s="6">
        <v>39484.44258101852</v>
      </c>
      <c r="Q1868" s="12"/>
      <c r="R1868" s="16" t="s">
        <v>6492</v>
      </c>
      <c r="S1868" s="11" t="s">
        <v>6493</v>
      </c>
      <c r="T1868" s="12"/>
      <c r="U1868" s="10" t="str">
        <f>HYPERLINK("https://pbs.twimg.com/profile_images/1050682809906429952/HBvZgXnN.jpg","View")</f>
        <v>View</v>
      </c>
    </row>
    <row r="1869" spans="1:21" ht="30.6">
      <c r="A1869" s="6">
        <v>43422.962962962964</v>
      </c>
      <c r="B1869" s="7" t="str">
        <f>HYPERLINK("https://twitter.com/Alejandro_vara","@Alejandro_vara")</f>
        <v>@Alejandro_vara</v>
      </c>
      <c r="C1869" s="8" t="s">
        <v>6494</v>
      </c>
      <c r="D1869" s="9" t="s">
        <v>6495</v>
      </c>
      <c r="E1869" s="10" t="str">
        <f>HYPERLINK("https://twitter.com/Alejandro_vara/status/1064414639658856449","1064414639658856449")</f>
        <v>1064414639658856449</v>
      </c>
      <c r="F1869" s="11" t="s">
        <v>6496</v>
      </c>
      <c r="G1869" s="12"/>
      <c r="H1869" s="12"/>
      <c r="I1869" s="13">
        <v>0</v>
      </c>
      <c r="J1869" s="13">
        <v>0</v>
      </c>
      <c r="K1869" s="14" t="str">
        <f t="shared" si="349"/>
        <v>Twitter for iPhone</v>
      </c>
      <c r="L1869" s="13">
        <v>14226</v>
      </c>
      <c r="M1869" s="13">
        <v>376</v>
      </c>
      <c r="N1869" s="13">
        <v>338</v>
      </c>
      <c r="O1869" s="15"/>
      <c r="P1869" s="6">
        <v>39941.496134259258</v>
      </c>
      <c r="Q1869" s="17" t="s">
        <v>1739</v>
      </c>
      <c r="R1869" s="16" t="s">
        <v>485</v>
      </c>
      <c r="S1869" s="12"/>
      <c r="T1869" s="12"/>
      <c r="U1869" s="10" t="str">
        <f>HYPERLINK("https://pbs.twimg.com/profile_images/1367018635/IMG00022-20110524-1325.jpg","View")</f>
        <v>View</v>
      </c>
    </row>
    <row r="1870" spans="1:21" ht="20.399999999999999">
      <c r="A1870" s="6">
        <v>43422.960127314815</v>
      </c>
      <c r="B1870" s="7" t="str">
        <f>HYPERLINK("https://twitter.com/onion_icecream","@onion_icecream")</f>
        <v>@onion_icecream</v>
      </c>
      <c r="C1870" s="8" t="s">
        <v>6497</v>
      </c>
      <c r="D1870" s="9" t="s">
        <v>6498</v>
      </c>
      <c r="E1870" s="10" t="str">
        <f>HYPERLINK("https://twitter.com/onion_icecream/status/1064413610959605760","1064413610959605760")</f>
        <v>1064413610959605760</v>
      </c>
      <c r="F1870" s="12"/>
      <c r="G1870" s="12"/>
      <c r="H1870" s="12"/>
      <c r="I1870" s="13">
        <v>0</v>
      </c>
      <c r="J1870" s="13">
        <v>0</v>
      </c>
      <c r="K1870" s="14" t="str">
        <f>HYPERLINK("http://twitter.com","Twitter Web Client")</f>
        <v>Twitter Web Client</v>
      </c>
      <c r="L1870" s="13">
        <v>11</v>
      </c>
      <c r="M1870" s="13">
        <v>159</v>
      </c>
      <c r="N1870" s="13">
        <v>0</v>
      </c>
      <c r="O1870" s="15"/>
      <c r="P1870" s="6">
        <v>43326.387939814813</v>
      </c>
      <c r="Q1870" s="17" t="s">
        <v>6499</v>
      </c>
      <c r="R1870" s="16" t="s">
        <v>6500</v>
      </c>
      <c r="S1870" s="12"/>
      <c r="T1870" s="12"/>
      <c r="U1870" s="10" t="str">
        <f>HYPERLINK("https://pbs.twimg.com/profile_images/1029402890631299072/C4KIX7UR.jpg","View")</f>
        <v>View</v>
      </c>
    </row>
    <row r="1871" spans="1:21" ht="30.6">
      <c r="A1871" s="6">
        <v>43422.958287037036</v>
      </c>
      <c r="B1871" s="7" t="str">
        <f>HYPERLINK("https://twitter.com/publico_es","@publico_es")</f>
        <v>@publico_es</v>
      </c>
      <c r="C1871" s="8" t="s">
        <v>1822</v>
      </c>
      <c r="D1871" s="9" t="s">
        <v>6501</v>
      </c>
      <c r="E1871" s="10" t="str">
        <f>HYPERLINK("https://twitter.com/publico_es/status/1064412943020892161","1064412943020892161")</f>
        <v>1064412943020892161</v>
      </c>
      <c r="F1871" s="11" t="s">
        <v>6502</v>
      </c>
      <c r="G1871" s="12"/>
      <c r="H1871" s="12"/>
      <c r="I1871" s="13">
        <v>0</v>
      </c>
      <c r="J1871" s="13">
        <v>5</v>
      </c>
      <c r="K1871" s="14" t="str">
        <f>HYPERLINK("https://about.twitter.com/products/tweetdeck","TweetDeck")</f>
        <v>TweetDeck</v>
      </c>
      <c r="L1871" s="13">
        <v>911012</v>
      </c>
      <c r="M1871" s="13">
        <v>1455</v>
      </c>
      <c r="N1871" s="13">
        <v>14824</v>
      </c>
      <c r="O1871" s="19" t="s">
        <v>74</v>
      </c>
      <c r="P1871" s="6">
        <v>39779.184525462959</v>
      </c>
      <c r="Q1871" s="17" t="s">
        <v>203</v>
      </c>
      <c r="R1871" s="16" t="s">
        <v>1824</v>
      </c>
      <c r="S1871" s="11" t="s">
        <v>1825</v>
      </c>
      <c r="T1871" s="12"/>
      <c r="U1871" s="10" t="str">
        <f>HYPERLINK("https://pbs.twimg.com/profile_images/1048242435682422786/FdzZWHU8.jpg","View")</f>
        <v>View</v>
      </c>
    </row>
    <row r="1872" spans="1:21" ht="40.799999999999997">
      <c r="A1872" s="6">
        <v>43422.957048611112</v>
      </c>
      <c r="B1872" s="7" t="str">
        <f>HYPERLINK("https://twitter.com/Nostrianamus","@Nostrianamus")</f>
        <v>@Nostrianamus</v>
      </c>
      <c r="C1872" s="8" t="s">
        <v>6503</v>
      </c>
      <c r="D1872" s="9" t="s">
        <v>6504</v>
      </c>
      <c r="E1872" s="10" t="str">
        <f>HYPERLINK("https://twitter.com/Nostrianamus/status/1064412497963294720","1064412497963294720")</f>
        <v>1064412497963294720</v>
      </c>
      <c r="F1872" s="11" t="s">
        <v>6505</v>
      </c>
      <c r="G1872" s="12"/>
      <c r="H1872" s="12"/>
      <c r="I1872" s="13">
        <v>1</v>
      </c>
      <c r="J1872" s="13">
        <v>2</v>
      </c>
      <c r="K1872" s="14" t="str">
        <f>HYPERLINK("http://www.facebook.com/twitter","Facebook")</f>
        <v>Facebook</v>
      </c>
      <c r="L1872" s="13">
        <v>1595</v>
      </c>
      <c r="M1872" s="13">
        <v>2762</v>
      </c>
      <c r="N1872" s="13">
        <v>43</v>
      </c>
      <c r="O1872" s="15"/>
      <c r="P1872" s="6">
        <v>40269.064560185187</v>
      </c>
      <c r="Q1872" s="12"/>
      <c r="R1872" s="16" t="s">
        <v>6506</v>
      </c>
      <c r="S1872" s="12"/>
      <c r="T1872" s="12"/>
      <c r="U1872" s="10" t="str">
        <f>HYPERLINK("https://pbs.twimg.com/profile_images/804653169821229057/EQrm3Z39.jpg","View")</f>
        <v>View</v>
      </c>
    </row>
    <row r="1873" spans="1:21" ht="40.799999999999997">
      <c r="A1873" s="6">
        <v>43422.953599537039</v>
      </c>
      <c r="B1873" s="7" t="str">
        <f>HYPERLINK("https://twitter.com/lamiradaeuropea","@lamiradaeuropea")</f>
        <v>@lamiradaeuropea</v>
      </c>
      <c r="C1873" s="8" t="s">
        <v>6507</v>
      </c>
      <c r="D1873" s="9" t="s">
        <v>6353</v>
      </c>
      <c r="E1873" s="10" t="str">
        <f>HYPERLINK("https://twitter.com/lamiradaeuropea/status/1064411244365529088","1064411244365529088")</f>
        <v>1064411244365529088</v>
      </c>
      <c r="F1873" s="11" t="s">
        <v>5831</v>
      </c>
      <c r="G1873" s="12"/>
      <c r="H1873" s="12"/>
      <c r="I1873" s="13">
        <v>0</v>
      </c>
      <c r="J1873" s="13">
        <v>0</v>
      </c>
      <c r="K1873" s="14" t="str">
        <f>HYPERLINK("http://twitter.com/download/iphone","Twitter for iPhone")</f>
        <v>Twitter for iPhone</v>
      </c>
      <c r="L1873" s="13">
        <v>756</v>
      </c>
      <c r="M1873" s="13">
        <v>780</v>
      </c>
      <c r="N1873" s="13">
        <v>5</v>
      </c>
      <c r="O1873" s="15"/>
      <c r="P1873" s="6">
        <v>42421.634212962963</v>
      </c>
      <c r="Q1873" s="17" t="s">
        <v>6508</v>
      </c>
      <c r="R1873" s="16" t="s">
        <v>6509</v>
      </c>
      <c r="S1873" s="11" t="s">
        <v>6510</v>
      </c>
      <c r="T1873" s="12"/>
      <c r="U1873" s="10" t="str">
        <f>HYPERLINK("https://pbs.twimg.com/profile_images/954030549261344768/ow3WuQrZ.jpg","View")</f>
        <v>View</v>
      </c>
    </row>
    <row r="1874" spans="1:21" ht="30.6">
      <c r="A1874" s="6">
        <v>43422.951331018514</v>
      </c>
      <c r="B1874" s="7" t="str">
        <f>HYPERLINK("https://twitter.com/joselurr","@joselurr")</f>
        <v>@joselurr</v>
      </c>
      <c r="C1874" s="8" t="s">
        <v>6511</v>
      </c>
      <c r="D1874" s="9" t="s">
        <v>6512</v>
      </c>
      <c r="E1874" s="10" t="str">
        <f>HYPERLINK("https://twitter.com/joselurr/status/1064410424320368640","1064410424320368640")</f>
        <v>1064410424320368640</v>
      </c>
      <c r="F1874" s="12"/>
      <c r="G1874" s="12"/>
      <c r="H1874" s="12"/>
      <c r="I1874" s="13">
        <v>0</v>
      </c>
      <c r="J1874" s="13">
        <v>0</v>
      </c>
      <c r="K1874" s="14" t="str">
        <f>HYPERLINK("http://www.hootsuite.com","Hootsuite")</f>
        <v>Hootsuite</v>
      </c>
      <c r="L1874" s="13">
        <v>1365</v>
      </c>
      <c r="M1874" s="13">
        <v>823</v>
      </c>
      <c r="N1874" s="13">
        <v>116</v>
      </c>
      <c r="O1874" s="15"/>
      <c r="P1874" s="6">
        <v>40344.194537037038</v>
      </c>
      <c r="Q1874" s="17" t="s">
        <v>6513</v>
      </c>
      <c r="R1874" s="16" t="s">
        <v>6514</v>
      </c>
      <c r="S1874" s="11" t="s">
        <v>6515</v>
      </c>
      <c r="T1874" s="12"/>
      <c r="U1874" s="10" t="str">
        <f>HYPERLINK("https://pbs.twimg.com/profile_images/1037029142766780418/uVhpdTJG.jpg","View")</f>
        <v>View</v>
      </c>
    </row>
    <row r="1875" spans="1:21" ht="20.399999999999999">
      <c r="A1875" s="6">
        <v>43422.949282407411</v>
      </c>
      <c r="B1875" s="7" t="str">
        <f>HYPERLINK("https://twitter.com/madodeley","@madodeley")</f>
        <v>@madodeley</v>
      </c>
      <c r="C1875" s="8" t="s">
        <v>6516</v>
      </c>
      <c r="D1875" s="9" t="s">
        <v>6517</v>
      </c>
      <c r="E1875" s="10" t="str">
        <f>HYPERLINK("https://twitter.com/madodeley/status/1064409680238260224","1064409680238260224")</f>
        <v>1064409680238260224</v>
      </c>
      <c r="F1875" s="11" t="s">
        <v>4961</v>
      </c>
      <c r="G1875" s="12"/>
      <c r="H1875" s="12"/>
      <c r="I1875" s="13">
        <v>0</v>
      </c>
      <c r="J1875" s="13">
        <v>0</v>
      </c>
      <c r="K1875" s="14" t="str">
        <f t="shared" ref="K1875:K1876" si="350">HYPERLINK("http://twitter.com/download/android","Twitter for Android")</f>
        <v>Twitter for Android</v>
      </c>
      <c r="L1875" s="13">
        <v>1099</v>
      </c>
      <c r="M1875" s="13">
        <v>756</v>
      </c>
      <c r="N1875" s="13">
        <v>12</v>
      </c>
      <c r="O1875" s="15"/>
      <c r="P1875" s="6">
        <v>41499.154641203706</v>
      </c>
      <c r="Q1875" s="12"/>
      <c r="R1875" s="18"/>
      <c r="S1875" s="12"/>
      <c r="T1875" s="12"/>
      <c r="U1875" s="10" t="str">
        <f>HYPERLINK("https://pbs.twimg.com/profile_images/888875338725568512/Cjrp8tPJ.jpg","View")</f>
        <v>View</v>
      </c>
    </row>
    <row r="1876" spans="1:21" ht="40.799999999999997">
      <c r="A1876" s="6">
        <v>43422.948969907404</v>
      </c>
      <c r="B1876" s="7" t="str">
        <f>HYPERLINK("https://twitter.com/karma30796578","@karma30796578")</f>
        <v>@karma30796578</v>
      </c>
      <c r="C1876" s="8" t="s">
        <v>6518</v>
      </c>
      <c r="D1876" s="9" t="s">
        <v>6519</v>
      </c>
      <c r="E1876" s="10" t="str">
        <f>HYPERLINK("https://twitter.com/karma30796578/status/1064409569902907392","1064409569902907392")</f>
        <v>1064409569902907392</v>
      </c>
      <c r="F1876" s="12"/>
      <c r="G1876" s="12"/>
      <c r="H1876" s="12"/>
      <c r="I1876" s="13">
        <v>0</v>
      </c>
      <c r="J1876" s="13">
        <v>2</v>
      </c>
      <c r="K1876" s="14" t="str">
        <f t="shared" si="350"/>
        <v>Twitter for Android</v>
      </c>
      <c r="L1876" s="13">
        <v>78</v>
      </c>
      <c r="M1876" s="13">
        <v>120</v>
      </c>
      <c r="N1876" s="13">
        <v>0</v>
      </c>
      <c r="O1876" s="15"/>
      <c r="P1876" s="6">
        <v>43010.995312500003</v>
      </c>
      <c r="Q1876" s="12"/>
      <c r="R1876" s="18"/>
      <c r="S1876" s="12"/>
      <c r="T1876" s="12"/>
      <c r="U1876" s="10" t="str">
        <f>HYPERLINK("https://pbs.twimg.com/profile_images/1022228469453914128/St2zzx5h.jpg","View")</f>
        <v>View</v>
      </c>
    </row>
    <row r="1877" spans="1:21" ht="30.6">
      <c r="A1877" s="6">
        <v>43422.948009259257</v>
      </c>
      <c r="B1877" s="7" t="str">
        <f>HYPERLINK("https://twitter.com/rosa614","@rosa614")</f>
        <v>@rosa614</v>
      </c>
      <c r="C1877" s="8" t="s">
        <v>6520</v>
      </c>
      <c r="D1877" s="9" t="s">
        <v>6521</v>
      </c>
      <c r="E1877" s="10" t="str">
        <f>HYPERLINK("https://twitter.com/rosa614/status/1064409220852928514","1064409220852928514")</f>
        <v>1064409220852928514</v>
      </c>
      <c r="F1877" s="11" t="s">
        <v>320</v>
      </c>
      <c r="G1877" s="12"/>
      <c r="H1877" s="12"/>
      <c r="I1877" s="13">
        <v>1</v>
      </c>
      <c r="J1877" s="13">
        <v>1</v>
      </c>
      <c r="K1877" s="14" t="str">
        <f>HYPERLINK("http://twitter.com","Twitter Web Client")</f>
        <v>Twitter Web Client</v>
      </c>
      <c r="L1877" s="13">
        <v>186</v>
      </c>
      <c r="M1877" s="13">
        <v>128</v>
      </c>
      <c r="N1877" s="13">
        <v>2</v>
      </c>
      <c r="O1877" s="15"/>
      <c r="P1877" s="6">
        <v>40683.600729166668</v>
      </c>
      <c r="Q1877" s="12"/>
      <c r="R1877" s="16" t="s">
        <v>6522</v>
      </c>
      <c r="S1877" s="12"/>
      <c r="T1877" s="12"/>
      <c r="U1877" s="10" t="str">
        <f>HYPERLINK("https://pbs.twimg.com/profile_images/378800000651193760/a6da706d142945d64d42748445270b59.jpeg","View")</f>
        <v>View</v>
      </c>
    </row>
    <row r="1878" spans="1:21" ht="30.6">
      <c r="A1878" s="6">
        <v>43422.947638888887</v>
      </c>
      <c r="B1878" s="7" t="str">
        <f>HYPERLINK("https://twitter.com/juancuesta56","@juancuesta56")</f>
        <v>@juancuesta56</v>
      </c>
      <c r="C1878" s="8" t="s">
        <v>6523</v>
      </c>
      <c r="D1878" s="9" t="s">
        <v>6524</v>
      </c>
      <c r="E1878" s="10" t="str">
        <f>HYPERLINK("https://twitter.com/juancuesta56/status/1064409086136078336","1064409086136078336")</f>
        <v>1064409086136078336</v>
      </c>
      <c r="F1878" s="11" t="s">
        <v>6525</v>
      </c>
      <c r="G1878" s="12"/>
      <c r="H1878" s="12"/>
      <c r="I1878" s="13">
        <v>0</v>
      </c>
      <c r="J1878" s="13">
        <v>0</v>
      </c>
      <c r="K1878" s="14" t="str">
        <f t="shared" ref="K1878:K1879" si="351">HYPERLINK("http://twitter.com/download/android","Twitter for Android")</f>
        <v>Twitter for Android</v>
      </c>
      <c r="L1878" s="13">
        <v>666</v>
      </c>
      <c r="M1878" s="13">
        <v>589</v>
      </c>
      <c r="N1878" s="13">
        <v>38</v>
      </c>
      <c r="O1878" s="15"/>
      <c r="P1878" s="6">
        <v>40382.383101851854</v>
      </c>
      <c r="Q1878" s="17" t="s">
        <v>76</v>
      </c>
      <c r="R1878" s="16" t="s">
        <v>6526</v>
      </c>
      <c r="S1878" s="11" t="s">
        <v>6527</v>
      </c>
      <c r="T1878" s="12"/>
      <c r="U1878" s="10" t="str">
        <f>HYPERLINK("https://pbs.twimg.com/profile_images/1719709479/juancuesta.jpg","View")</f>
        <v>View</v>
      </c>
    </row>
    <row r="1879" spans="1:21" ht="20.399999999999999">
      <c r="A1879" s="6">
        <v>43422.946261574078</v>
      </c>
      <c r="B1879" s="7" t="str">
        <f>HYPERLINK("https://twitter.com/miafalkenauge","@miafalkenauge")</f>
        <v>@miafalkenauge</v>
      </c>
      <c r="C1879" s="8" t="s">
        <v>6528</v>
      </c>
      <c r="D1879" s="9" t="s">
        <v>6529</v>
      </c>
      <c r="E1879" s="10" t="str">
        <f>HYPERLINK("https://twitter.com/miafalkenauge/status/1064408586393128960","1064408586393128960")</f>
        <v>1064408586393128960</v>
      </c>
      <c r="F1879" s="12"/>
      <c r="G1879" s="12"/>
      <c r="H1879" s="12"/>
      <c r="I1879" s="13">
        <v>0</v>
      </c>
      <c r="J1879" s="13">
        <v>3</v>
      </c>
      <c r="K1879" s="14" t="str">
        <f t="shared" si="351"/>
        <v>Twitter for Android</v>
      </c>
      <c r="L1879" s="13">
        <v>198</v>
      </c>
      <c r="M1879" s="13">
        <v>359</v>
      </c>
      <c r="N1879" s="13">
        <v>7</v>
      </c>
      <c r="O1879" s="15"/>
      <c r="P1879" s="6">
        <v>42637.302800925929</v>
      </c>
      <c r="Q1879" s="17" t="s">
        <v>6530</v>
      </c>
      <c r="R1879" s="16" t="s">
        <v>6531</v>
      </c>
      <c r="S1879" s="12"/>
      <c r="T1879" s="12"/>
      <c r="U1879" s="10" t="str">
        <f>HYPERLINK("https://pbs.twimg.com/profile_images/1065004807415623680/SWe5hdX9.jpg","View")</f>
        <v>View</v>
      </c>
    </row>
    <row r="1880" spans="1:21" ht="20.399999999999999">
      <c r="A1880" s="6">
        <v>43422.945138888885</v>
      </c>
      <c r="B1880" s="7" t="str">
        <f>HYPERLINK("https://twitter.com/eldiarioes","@eldiarioes")</f>
        <v>@eldiarioes</v>
      </c>
      <c r="C1880" s="20" t="s">
        <v>687</v>
      </c>
      <c r="D1880" s="9" t="s">
        <v>6532</v>
      </c>
      <c r="E1880" s="10" t="str">
        <f>HYPERLINK("https://twitter.com/eldiarioes/status/1064408179134656512","1064408179134656512")</f>
        <v>1064408179134656512</v>
      </c>
      <c r="F1880" s="11" t="s">
        <v>5095</v>
      </c>
      <c r="G1880" s="11" t="s">
        <v>6533</v>
      </c>
      <c r="H1880" s="12"/>
      <c r="I1880" s="13">
        <v>5</v>
      </c>
      <c r="J1880" s="13">
        <v>4</v>
      </c>
      <c r="K1880" s="14" t="str">
        <f>HYPERLINK("https://about.twitter.com/products/tweetdeck","TweetDeck")</f>
        <v>TweetDeck</v>
      </c>
      <c r="L1880" s="13">
        <v>936615</v>
      </c>
      <c r="M1880" s="13">
        <v>456</v>
      </c>
      <c r="N1880" s="13">
        <v>11235</v>
      </c>
      <c r="O1880" s="19" t="s">
        <v>74</v>
      </c>
      <c r="P1880" s="6">
        <v>40992.505856481483</v>
      </c>
      <c r="Q1880" s="12"/>
      <c r="R1880" s="16" t="s">
        <v>692</v>
      </c>
      <c r="S1880" s="11" t="s">
        <v>693</v>
      </c>
      <c r="T1880" s="12"/>
      <c r="U1880" s="10" t="str">
        <f>HYPERLINK("https://pbs.twimg.com/profile_images/1016600645292511232/eYIkIK2s.jpg","View")</f>
        <v>View</v>
      </c>
    </row>
    <row r="1881" spans="1:21" ht="30.6">
      <c r="A1881" s="6">
        <v>43422.944791666669</v>
      </c>
      <c r="B1881" s="7" t="str">
        <f>HYPERLINK("https://twitter.com/Gerardotii","@Gerardotii")</f>
        <v>@Gerardotii</v>
      </c>
      <c r="C1881" s="8" t="s">
        <v>6534</v>
      </c>
      <c r="D1881" s="9" t="s">
        <v>6535</v>
      </c>
      <c r="E1881" s="10" t="str">
        <f>HYPERLINK("https://twitter.com/Gerardotii/status/1064408055662739456","1064408055662739456")</f>
        <v>1064408055662739456</v>
      </c>
      <c r="F1881" s="11" t="s">
        <v>6536</v>
      </c>
      <c r="G1881" s="12"/>
      <c r="H1881" s="12"/>
      <c r="I1881" s="13">
        <v>0</v>
      </c>
      <c r="J1881" s="13">
        <v>0</v>
      </c>
      <c r="K1881" s="14" t="str">
        <f>HYPERLINK("http://twitter.com/download/iphone","Twitter for iPhone")</f>
        <v>Twitter for iPhone</v>
      </c>
      <c r="L1881" s="13">
        <v>432</v>
      </c>
      <c r="M1881" s="13">
        <v>1414</v>
      </c>
      <c r="N1881" s="13">
        <v>4</v>
      </c>
      <c r="O1881" s="15"/>
      <c r="P1881" s="6">
        <v>40958.977013888885</v>
      </c>
      <c r="Q1881" s="17" t="s">
        <v>76</v>
      </c>
      <c r="R1881" s="16" t="s">
        <v>6537</v>
      </c>
      <c r="S1881" s="12"/>
      <c r="T1881" s="12"/>
      <c r="U1881" s="10" t="str">
        <f>HYPERLINK("https://pbs.twimg.com/profile_images/1840417389/IMG00144_640x480.jpg","View")</f>
        <v>View</v>
      </c>
    </row>
    <row r="1882" spans="1:21" ht="20.399999999999999">
      <c r="A1882" s="6">
        <v>43422.944768518515</v>
      </c>
      <c r="B1882" s="7" t="str">
        <f>HYPERLINK("https://twitter.com/natipcu","@natipcu")</f>
        <v>@natipcu</v>
      </c>
      <c r="C1882" s="8" t="s">
        <v>6538</v>
      </c>
      <c r="D1882" s="9" t="s">
        <v>6539</v>
      </c>
      <c r="E1882" s="10" t="str">
        <f>HYPERLINK("https://twitter.com/natipcu/status/1064408045965459456","1064408045965459456")</f>
        <v>1064408045965459456</v>
      </c>
      <c r="F1882" s="11" t="s">
        <v>5301</v>
      </c>
      <c r="G1882" s="12"/>
      <c r="H1882" s="12"/>
      <c r="I1882" s="13">
        <v>0</v>
      </c>
      <c r="J1882" s="13">
        <v>0</v>
      </c>
      <c r="K1882" s="14" t="str">
        <f>HYPERLINK("http://www.facebook.com/twitter","Facebook")</f>
        <v>Facebook</v>
      </c>
      <c r="L1882" s="13">
        <v>370</v>
      </c>
      <c r="M1882" s="13">
        <v>952</v>
      </c>
      <c r="N1882" s="13">
        <v>6</v>
      </c>
      <c r="O1882" s="15"/>
      <c r="P1882" s="6">
        <v>41011.006006944444</v>
      </c>
      <c r="Q1882" s="17" t="s">
        <v>6540</v>
      </c>
      <c r="R1882" s="16" t="s">
        <v>6541</v>
      </c>
      <c r="S1882" s="12"/>
      <c r="T1882" s="12"/>
      <c r="U1882" s="10" t="str">
        <f>HYPERLINK("https://pbs.twimg.com/profile_images/1040653426294759431/Hzpw4gD_.jpg","View")</f>
        <v>View</v>
      </c>
    </row>
    <row r="1883" spans="1:21" ht="51">
      <c r="A1883" s="6">
        <v>43422.944039351853</v>
      </c>
      <c r="B1883" s="7" t="str">
        <f>HYPERLINK("https://twitter.com/AgoraCampTuria","@AgoraCampTuria")</f>
        <v>@AgoraCampTuria</v>
      </c>
      <c r="C1883" s="8" t="s">
        <v>6542</v>
      </c>
      <c r="D1883" s="9" t="s">
        <v>6543</v>
      </c>
      <c r="E1883" s="10" t="str">
        <f>HYPERLINK("https://twitter.com/AgoraCampTuria/status/1064407780315066368","1064407780315066368")</f>
        <v>1064407780315066368</v>
      </c>
      <c r="F1883" s="11" t="s">
        <v>6544</v>
      </c>
      <c r="G1883" s="11" t="s">
        <v>6545</v>
      </c>
      <c r="H1883" s="12"/>
      <c r="I1883" s="13">
        <v>0</v>
      </c>
      <c r="J1883" s="13">
        <v>0</v>
      </c>
      <c r="K1883" s="14" t="str">
        <f>HYPERLINK("https://ifttt.com","IFTTT")</f>
        <v>IFTTT</v>
      </c>
      <c r="L1883" s="13">
        <v>125</v>
      </c>
      <c r="M1883" s="13">
        <v>135</v>
      </c>
      <c r="N1883" s="13">
        <v>3</v>
      </c>
      <c r="O1883" s="15"/>
      <c r="P1883" s="6">
        <v>42160.140694444446</v>
      </c>
      <c r="Q1883" s="17" t="s">
        <v>6546</v>
      </c>
      <c r="R1883" s="16" t="s">
        <v>6547</v>
      </c>
      <c r="S1883" s="11" t="s">
        <v>6548</v>
      </c>
      <c r="T1883" s="12"/>
      <c r="U1883" s="10" t="str">
        <f>HYPERLINK("https://pbs.twimg.com/profile_images/606768946251984896/7gAdgGD2.jpg","View")</f>
        <v>View</v>
      </c>
    </row>
    <row r="1884" spans="1:21" ht="30.6">
      <c r="A1884" s="6">
        <v>43422.939780092594</v>
      </c>
      <c r="B1884" s="7" t="str">
        <f>HYPERLINK("https://twitter.com/fitovski","@fitovski")</f>
        <v>@fitovski</v>
      </c>
      <c r="C1884" s="8" t="s">
        <v>6549</v>
      </c>
      <c r="D1884" s="9" t="s">
        <v>6550</v>
      </c>
      <c r="E1884" s="10" t="str">
        <f>HYPERLINK("https://twitter.com/fitovski/status/1064406239025729538","1064406239025729538")</f>
        <v>1064406239025729538</v>
      </c>
      <c r="F1884" s="12"/>
      <c r="G1884" s="12"/>
      <c r="H1884" s="12"/>
      <c r="I1884" s="13">
        <v>0</v>
      </c>
      <c r="J1884" s="13">
        <v>0</v>
      </c>
      <c r="K1884" s="14" t="str">
        <f>HYPERLINK("http://twitter.com","Twitter Web Client")</f>
        <v>Twitter Web Client</v>
      </c>
      <c r="L1884" s="13">
        <v>12</v>
      </c>
      <c r="M1884" s="13">
        <v>78</v>
      </c>
      <c r="N1884" s="13">
        <v>1</v>
      </c>
      <c r="O1884" s="15"/>
      <c r="P1884" s="6">
        <v>43216.221932870365</v>
      </c>
      <c r="Q1884" s="17" t="s">
        <v>506</v>
      </c>
      <c r="R1884" s="16" t="s">
        <v>6551</v>
      </c>
      <c r="S1884" s="12"/>
      <c r="T1884" s="12"/>
      <c r="U1884" s="10" t="str">
        <f>HYPERLINK("https://pbs.twimg.com/profile_images/1009224782389407744/EtHqr9xq.jpg","View")</f>
        <v>View</v>
      </c>
    </row>
    <row r="1885" spans="1:21" ht="71.400000000000006">
      <c r="A1885" s="6">
        <v>43422.937719907408</v>
      </c>
      <c r="B1885" s="7" t="str">
        <f>HYPERLINK("https://twitter.com/Pcn19sesenta","@Pcn19sesenta")</f>
        <v>@Pcn19sesenta</v>
      </c>
      <c r="C1885" s="8" t="s">
        <v>6552</v>
      </c>
      <c r="D1885" s="9" t="s">
        <v>6553</v>
      </c>
      <c r="E1885" s="10" t="str">
        <f>HYPERLINK("https://twitter.com/Pcn19sesenta/status/1064405491990913024","1064405491990913024")</f>
        <v>1064405491990913024</v>
      </c>
      <c r="F1885" s="17" t="s">
        <v>6554</v>
      </c>
      <c r="G1885" s="12"/>
      <c r="H1885" s="12"/>
      <c r="I1885" s="13">
        <v>1</v>
      </c>
      <c r="J1885" s="13">
        <v>2</v>
      </c>
      <c r="K1885" s="14" t="str">
        <f>HYPERLINK("http://twitter.com/download/android","Twitter for Android")</f>
        <v>Twitter for Android</v>
      </c>
      <c r="L1885" s="13">
        <v>74</v>
      </c>
      <c r="M1885" s="13">
        <v>213</v>
      </c>
      <c r="N1885" s="13">
        <v>0</v>
      </c>
      <c r="O1885" s="15"/>
      <c r="P1885" s="6">
        <v>42003.489606481482</v>
      </c>
      <c r="Q1885" s="12"/>
      <c r="R1885" s="18"/>
      <c r="S1885" s="12"/>
      <c r="T1885" s="12"/>
      <c r="U1885" s="10" t="str">
        <f>HYPERLINK("https://pbs.twimg.com/profile_images/871136048168001538/Te1Lvql3.jpg","View")</f>
        <v>View</v>
      </c>
    </row>
    <row r="1886" spans="1:21" ht="30.6">
      <c r="A1886" s="6">
        <v>43422.936168981483</v>
      </c>
      <c r="B1886" s="7" t="str">
        <f>HYPERLINK("https://twitter.com/bergabil94","@bergabil94")</f>
        <v>@bergabil94</v>
      </c>
      <c r="C1886" s="8" t="s">
        <v>2327</v>
      </c>
      <c r="D1886" s="9" t="s">
        <v>5452</v>
      </c>
      <c r="E1886" s="10" t="str">
        <f>HYPERLINK("https://twitter.com/bergabil94/status/1064404928855228416","1064404928855228416")</f>
        <v>1064404928855228416</v>
      </c>
      <c r="F1886" s="11" t="s">
        <v>6433</v>
      </c>
      <c r="G1886" s="12"/>
      <c r="H1886" s="12"/>
      <c r="I1886" s="13">
        <v>0</v>
      </c>
      <c r="J1886" s="13">
        <v>0</v>
      </c>
      <c r="K1886" s="14" t="str">
        <f>HYPERLINK("https://ifttt.com","IFTTT")</f>
        <v>IFTTT</v>
      </c>
      <c r="L1886" s="13">
        <v>64</v>
      </c>
      <c r="M1886" s="13">
        <v>51</v>
      </c>
      <c r="N1886" s="13">
        <v>3</v>
      </c>
      <c r="O1886" s="15"/>
      <c r="P1886" s="6">
        <v>42758.047662037032</v>
      </c>
      <c r="Q1886" s="17" t="s">
        <v>26</v>
      </c>
      <c r="R1886" s="16" t="s">
        <v>2328</v>
      </c>
      <c r="S1886" s="12"/>
      <c r="T1886" s="12"/>
      <c r="U1886" s="10" t="str">
        <f>HYPERLINK("https://pbs.twimg.com/profile_images/823457736675459073/c35uioBB.jpg","View")</f>
        <v>View</v>
      </c>
    </row>
    <row r="1887" spans="1:21" ht="30.6">
      <c r="A1887" s="6">
        <v>43422.936157407406</v>
      </c>
      <c r="B1887" s="7" t="str">
        <f>HYPERLINK("https://twitter.com/Liverdades","@Liverdades")</f>
        <v>@Liverdades</v>
      </c>
      <c r="C1887" s="8" t="s">
        <v>2385</v>
      </c>
      <c r="D1887" s="9" t="s">
        <v>6555</v>
      </c>
      <c r="E1887" s="10" t="str">
        <f>HYPERLINK("https://twitter.com/Liverdades/status/1064404925130596352","1064404925130596352")</f>
        <v>1064404925130596352</v>
      </c>
      <c r="F1887" s="11" t="s">
        <v>6556</v>
      </c>
      <c r="G1887" s="11" t="s">
        <v>6557</v>
      </c>
      <c r="H1887" s="12"/>
      <c r="I1887" s="13">
        <v>0</v>
      </c>
      <c r="J1887" s="13">
        <v>0</v>
      </c>
      <c r="K1887" s="14" t="str">
        <f>HYPERLINK("https://dlvrit.com/","dlvr.it")</f>
        <v>dlvr.it</v>
      </c>
      <c r="L1887" s="13">
        <v>3517</v>
      </c>
      <c r="M1887" s="13">
        <v>3473</v>
      </c>
      <c r="N1887" s="13">
        <v>66</v>
      </c>
      <c r="O1887" s="15"/>
      <c r="P1887" s="6">
        <v>41743.117881944447</v>
      </c>
      <c r="Q1887" s="17" t="s">
        <v>187</v>
      </c>
      <c r="R1887" s="16" t="s">
        <v>2388</v>
      </c>
      <c r="S1887" s="11" t="s">
        <v>2389</v>
      </c>
      <c r="T1887" s="12"/>
      <c r="U1887" s="10" t="str">
        <f>HYPERLINK("https://pbs.twimg.com/profile_images/685407826445996032/eVcXWMVo.png","View")</f>
        <v>View</v>
      </c>
    </row>
    <row r="1888" spans="1:21" ht="40.799999999999997">
      <c r="A1888" s="6">
        <v>43422.934953703705</v>
      </c>
      <c r="B1888" s="7" t="str">
        <f>HYPERLINK("https://twitter.com/Sanfermin00","@Sanfermin00")</f>
        <v>@Sanfermin00</v>
      </c>
      <c r="C1888" s="8" t="s">
        <v>3375</v>
      </c>
      <c r="D1888" s="9" t="s">
        <v>6185</v>
      </c>
      <c r="E1888" s="10" t="str">
        <f>HYPERLINK("https://twitter.com/Sanfermin00/status/1064404487148920832","1064404487148920832")</f>
        <v>1064404487148920832</v>
      </c>
      <c r="F1888" s="11" t="s">
        <v>5997</v>
      </c>
      <c r="G1888" s="12"/>
      <c r="H1888" s="12"/>
      <c r="I1888" s="13">
        <v>0</v>
      </c>
      <c r="J1888" s="13">
        <v>0</v>
      </c>
      <c r="K1888" s="14" t="str">
        <f>HYPERLINK("http://twitter.com","Twitter Web Client")</f>
        <v>Twitter Web Client</v>
      </c>
      <c r="L1888" s="13">
        <v>16392</v>
      </c>
      <c r="M1888" s="13">
        <v>13582</v>
      </c>
      <c r="N1888" s="13">
        <v>123</v>
      </c>
      <c r="O1888" s="15"/>
      <c r="P1888" s="6">
        <v>42362.262083333335</v>
      </c>
      <c r="Q1888" s="17" t="s">
        <v>3378</v>
      </c>
      <c r="R1888" s="16" t="s">
        <v>3379</v>
      </c>
      <c r="S1888" s="11" t="s">
        <v>3380</v>
      </c>
      <c r="T1888" s="12"/>
      <c r="U1888" s="10" t="str">
        <f>HYPERLINK("https://pbs.twimg.com/profile_images/1064102923624480768/j11dV2-u.jpg","View")</f>
        <v>View</v>
      </c>
    </row>
    <row r="1889" spans="1:21" ht="20.399999999999999">
      <c r="A1889" s="6">
        <v>43422.934328703705</v>
      </c>
      <c r="B1889" s="7" t="str">
        <f t="shared" ref="B1889:B1890" si="352">HYPERLINK("https://twitter.com/TurboNoticias","@TurboNoticias")</f>
        <v>@TurboNoticias</v>
      </c>
      <c r="C1889" s="8" t="s">
        <v>2378</v>
      </c>
      <c r="D1889" s="9" t="s">
        <v>6431</v>
      </c>
      <c r="E1889" s="10" t="str">
        <f>HYPERLINK("https://twitter.com/TurboNoticias/status/1064404261746995200","1064404261746995200")</f>
        <v>1064404261746995200</v>
      </c>
      <c r="F1889" s="11" t="s">
        <v>5095</v>
      </c>
      <c r="G1889" s="12"/>
      <c r="H1889" s="12"/>
      <c r="I1889" s="13">
        <v>0</v>
      </c>
      <c r="J1889" s="13">
        <v>0</v>
      </c>
      <c r="K1889" s="14" t="str">
        <f t="shared" ref="K1889:K1890" si="353">HYPERLINK("https://ifttt.com","IFTTT")</f>
        <v>IFTTT</v>
      </c>
      <c r="L1889" s="13">
        <v>962</v>
      </c>
      <c r="M1889" s="13">
        <v>853</v>
      </c>
      <c r="N1889" s="13">
        <v>72</v>
      </c>
      <c r="O1889" s="15"/>
      <c r="P1889" s="6">
        <v>41374.53361111111</v>
      </c>
      <c r="Q1889" s="12"/>
      <c r="R1889" s="16" t="s">
        <v>2379</v>
      </c>
      <c r="S1889" s="12"/>
      <c r="T1889" s="12"/>
      <c r="U1889" s="10" t="str">
        <f t="shared" ref="U1889:U1890" si="354">HYPERLINK("https://pbs.twimg.com/profile_images/3503488030/f3fa72449e81ed8eb09fe5df9d6c5afe.jpeg","View")</f>
        <v>View</v>
      </c>
    </row>
    <row r="1890" spans="1:21" ht="20.399999999999999">
      <c r="A1890" s="6">
        <v>43422.934305555551</v>
      </c>
      <c r="B1890" s="7" t="str">
        <f t="shared" si="352"/>
        <v>@TurboNoticias</v>
      </c>
      <c r="C1890" s="8" t="s">
        <v>2378</v>
      </c>
      <c r="D1890" s="9" t="s">
        <v>5452</v>
      </c>
      <c r="E1890" s="10" t="str">
        <f>HYPERLINK("https://twitter.com/TurboNoticias/status/1064404254662819840","1064404254662819840")</f>
        <v>1064404254662819840</v>
      </c>
      <c r="F1890" s="11" t="s">
        <v>5453</v>
      </c>
      <c r="G1890" s="12"/>
      <c r="H1890" s="12"/>
      <c r="I1890" s="13">
        <v>0</v>
      </c>
      <c r="J1890" s="13">
        <v>0</v>
      </c>
      <c r="K1890" s="14" t="str">
        <f t="shared" si="353"/>
        <v>IFTTT</v>
      </c>
      <c r="L1890" s="13">
        <v>962</v>
      </c>
      <c r="M1890" s="13">
        <v>853</v>
      </c>
      <c r="N1890" s="13">
        <v>72</v>
      </c>
      <c r="O1890" s="15"/>
      <c r="P1890" s="6">
        <v>41374.53361111111</v>
      </c>
      <c r="Q1890" s="12"/>
      <c r="R1890" s="16" t="s">
        <v>2379</v>
      </c>
      <c r="S1890" s="12"/>
      <c r="T1890" s="12"/>
      <c r="U1890" s="10" t="str">
        <f t="shared" si="354"/>
        <v>View</v>
      </c>
    </row>
    <row r="1891" spans="1:21" ht="40.799999999999997">
      <c r="A1891" s="6">
        <v>43422.933472222227</v>
      </c>
      <c r="B1891" s="7" t="str">
        <f>HYPERLINK("https://twitter.com/VeoInfo_","@VeoInfo_")</f>
        <v>@VeoInfo_</v>
      </c>
      <c r="C1891" s="8" t="s">
        <v>517</v>
      </c>
      <c r="D1891" s="9" t="s">
        <v>5452</v>
      </c>
      <c r="E1891" s="10" t="str">
        <f>HYPERLINK("https://twitter.com/VeoInfo_/status/1064403952186392577","1064403952186392577")</f>
        <v>1064403952186392577</v>
      </c>
      <c r="F1891" s="11" t="s">
        <v>6562</v>
      </c>
      <c r="G1891" s="11" t="s">
        <v>6563</v>
      </c>
      <c r="H1891" s="12"/>
      <c r="I1891" s="13">
        <v>0</v>
      </c>
      <c r="J1891" s="13">
        <v>0</v>
      </c>
      <c r="K1891" s="14" t="str">
        <f>HYPERLINK("http://publicize.wp.com/","WordPress.com")</f>
        <v>WordPress.com</v>
      </c>
      <c r="L1891" s="13">
        <v>1135</v>
      </c>
      <c r="M1891" s="13">
        <v>1139</v>
      </c>
      <c r="N1891" s="13">
        <v>36</v>
      </c>
      <c r="O1891" s="15"/>
      <c r="P1891" s="6">
        <v>41880.726840277777</v>
      </c>
      <c r="Q1891" s="17" t="s">
        <v>520</v>
      </c>
      <c r="R1891" s="16" t="s">
        <v>521</v>
      </c>
      <c r="S1891" s="11" t="s">
        <v>522</v>
      </c>
      <c r="T1891" s="12"/>
      <c r="U1891" s="10" t="str">
        <f>HYPERLINK("https://pbs.twimg.com/profile_images/601509372305485827/Val0dfGy.png","View")</f>
        <v>View</v>
      </c>
    </row>
    <row r="1892" spans="1:21" ht="40.799999999999997">
      <c r="A1892" s="6">
        <v>43422.93173611111</v>
      </c>
      <c r="B1892" s="7" t="str">
        <f>HYPERLINK("https://twitter.com/Sanfermin00","@Sanfermin00")</f>
        <v>@Sanfermin00</v>
      </c>
      <c r="C1892" s="8" t="s">
        <v>3375</v>
      </c>
      <c r="D1892" s="9" t="s">
        <v>5086</v>
      </c>
      <c r="E1892" s="10" t="str">
        <f>HYPERLINK("https://twitter.com/Sanfermin00/status/1064403324538105856","1064403324538105856")</f>
        <v>1064403324538105856</v>
      </c>
      <c r="F1892" s="11" t="s">
        <v>5087</v>
      </c>
      <c r="G1892" s="12"/>
      <c r="H1892" s="12"/>
      <c r="I1892" s="13">
        <v>0</v>
      </c>
      <c r="J1892" s="13">
        <v>0</v>
      </c>
      <c r="K1892" s="14" t="str">
        <f>HYPERLINK("http://twitter.com","Twitter Web Client")</f>
        <v>Twitter Web Client</v>
      </c>
      <c r="L1892" s="13">
        <v>16392</v>
      </c>
      <c r="M1892" s="13">
        <v>13582</v>
      </c>
      <c r="N1892" s="13">
        <v>123</v>
      </c>
      <c r="O1892" s="15"/>
      <c r="P1892" s="6">
        <v>42362.262083333335</v>
      </c>
      <c r="Q1892" s="17" t="s">
        <v>3378</v>
      </c>
      <c r="R1892" s="16" t="s">
        <v>3379</v>
      </c>
      <c r="S1892" s="11" t="s">
        <v>3380</v>
      </c>
      <c r="T1892" s="12"/>
      <c r="U1892" s="10" t="str">
        <f>HYPERLINK("https://pbs.twimg.com/profile_images/1064102923624480768/j11dV2-u.jpg","View")</f>
        <v>View</v>
      </c>
    </row>
    <row r="1893" spans="1:21" ht="40.799999999999997">
      <c r="A1893" s="6">
        <v>43422.920381944445</v>
      </c>
      <c r="B1893" s="7" t="str">
        <f>HYPERLINK("https://twitter.com/Lentejitas","@Lentejitas")</f>
        <v>@Lentejitas</v>
      </c>
      <c r="C1893" s="8" t="s">
        <v>6564</v>
      </c>
      <c r="D1893" s="9" t="s">
        <v>6565</v>
      </c>
      <c r="E1893" s="10" t="str">
        <f>HYPERLINK("https://twitter.com/Lentejitas/status/1064399207828791297","1064399207828791297")</f>
        <v>1064399207828791297</v>
      </c>
      <c r="F1893" s="11" t="s">
        <v>4961</v>
      </c>
      <c r="G1893" s="12"/>
      <c r="H1893" s="12"/>
      <c r="I1893" s="13">
        <v>3</v>
      </c>
      <c r="J1893" s="13">
        <v>2</v>
      </c>
      <c r="K1893" s="14" t="str">
        <f>HYPERLINK("http://twitter.com/download/android","Twitter for Android")</f>
        <v>Twitter for Android</v>
      </c>
      <c r="L1893" s="13">
        <v>14242</v>
      </c>
      <c r="M1893" s="13">
        <v>5728</v>
      </c>
      <c r="N1893" s="13">
        <v>599</v>
      </c>
      <c r="O1893" s="15"/>
      <c r="P1893" s="6">
        <v>39269.372962962967</v>
      </c>
      <c r="Q1893" s="17" t="s">
        <v>6566</v>
      </c>
      <c r="R1893" s="16" t="s">
        <v>6567</v>
      </c>
      <c r="S1893" s="11" t="s">
        <v>6568</v>
      </c>
      <c r="T1893" s="12"/>
      <c r="U1893" s="10" t="str">
        <f>HYPERLINK("https://pbs.twimg.com/profile_images/1041632660723064832/HJupa7kZ.jpg","View")</f>
        <v>View</v>
      </c>
    </row>
    <row r="1894" spans="1:21" ht="13.2">
      <c r="A1894" s="6">
        <v>43422.918738425928</v>
      </c>
      <c r="B1894" s="7" t="str">
        <f>HYPERLINK("https://twitter.com/Albertuflo","@Albertuflo")</f>
        <v>@Albertuflo</v>
      </c>
      <c r="C1894" s="8" t="s">
        <v>3849</v>
      </c>
      <c r="D1894" s="9" t="s">
        <v>5658</v>
      </c>
      <c r="E1894" s="10" t="str">
        <f>HYPERLINK("https://twitter.com/Albertuflo/status/1064398610840854528","1064398610840854528")</f>
        <v>1064398610840854528</v>
      </c>
      <c r="F1894" s="11" t="s">
        <v>5659</v>
      </c>
      <c r="G1894" s="12"/>
      <c r="H1894" s="12"/>
      <c r="I1894" s="13">
        <v>1</v>
      </c>
      <c r="J1894" s="13">
        <v>1</v>
      </c>
      <c r="K1894" s="14" t="str">
        <f>HYPERLINK("http://twitter.com","Twitter Web Client")</f>
        <v>Twitter Web Client</v>
      </c>
      <c r="L1894" s="13">
        <v>1401</v>
      </c>
      <c r="M1894" s="13">
        <v>873</v>
      </c>
      <c r="N1894" s="13">
        <v>27</v>
      </c>
      <c r="O1894" s="15"/>
      <c r="P1894" s="6">
        <v>40784.069699074076</v>
      </c>
      <c r="Q1894" s="17" t="s">
        <v>76</v>
      </c>
      <c r="R1894" s="18"/>
      <c r="S1894" s="12"/>
      <c r="T1894" s="12"/>
      <c r="U1894" s="10" t="str">
        <f>HYPERLINK("https://pbs.twimg.com/profile_images/649716390329499648/Hct_hc16.jpg","View")</f>
        <v>View</v>
      </c>
    </row>
    <row r="1895" spans="1:21" ht="30.6">
      <c r="A1895" s="6">
        <v>43422.917997685188</v>
      </c>
      <c r="B1895" s="7" t="str">
        <f>HYPERLINK("https://twitter.com/Random_Dragon","@Random_Dragon")</f>
        <v>@Random_Dragon</v>
      </c>
      <c r="C1895" s="8" t="s">
        <v>6569</v>
      </c>
      <c r="D1895" s="9" t="s">
        <v>6570</v>
      </c>
      <c r="E1895" s="10" t="str">
        <f>HYPERLINK("https://twitter.com/Random_Dragon/status/1064398342531293184","1064398342531293184")</f>
        <v>1064398342531293184</v>
      </c>
      <c r="F1895" s="12"/>
      <c r="G1895" s="12"/>
      <c r="H1895" s="12"/>
      <c r="I1895" s="13">
        <v>1</v>
      </c>
      <c r="J1895" s="13">
        <v>1</v>
      </c>
      <c r="K1895" s="14" t="str">
        <f t="shared" ref="K1895:K1896" si="355">HYPERLINK("http://twitter.com/download/android","Twitter for Android")</f>
        <v>Twitter for Android</v>
      </c>
      <c r="L1895" s="13">
        <v>328</v>
      </c>
      <c r="M1895" s="13">
        <v>408</v>
      </c>
      <c r="N1895" s="13">
        <v>8</v>
      </c>
      <c r="O1895" s="15"/>
      <c r="P1895" s="6">
        <v>41404.260300925926</v>
      </c>
      <c r="Q1895" s="17" t="s">
        <v>6571</v>
      </c>
      <c r="R1895" s="16" t="s">
        <v>6572</v>
      </c>
      <c r="S1895" s="12"/>
      <c r="T1895" s="12"/>
      <c r="U1895" s="10" t="str">
        <f>HYPERLINK("https://pbs.twimg.com/profile_images/976573115886194688/mKR-aYj4.jpg","View")</f>
        <v>View</v>
      </c>
    </row>
    <row r="1896" spans="1:21" ht="20.399999999999999">
      <c r="A1896" s="6">
        <v>43422.915347222224</v>
      </c>
      <c r="B1896" s="7" t="str">
        <f>HYPERLINK("https://twitter.com/SandraCForaster","@SandraCForaster")</f>
        <v>@SandraCForaster</v>
      </c>
      <c r="C1896" s="8" t="s">
        <v>6573</v>
      </c>
      <c r="D1896" s="9" t="s">
        <v>3900</v>
      </c>
      <c r="E1896" s="10" t="str">
        <f>HYPERLINK("https://twitter.com/SandraCForaster/status/1064397383939907584","1064397383939907584")</f>
        <v>1064397383939907584</v>
      </c>
      <c r="F1896" s="11" t="s">
        <v>320</v>
      </c>
      <c r="G1896" s="12"/>
      <c r="H1896" s="12"/>
      <c r="I1896" s="13">
        <v>1</v>
      </c>
      <c r="J1896" s="13">
        <v>3</v>
      </c>
      <c r="K1896" s="14" t="str">
        <f t="shared" si="355"/>
        <v>Twitter for Android</v>
      </c>
      <c r="L1896" s="13">
        <v>297</v>
      </c>
      <c r="M1896" s="13">
        <v>328</v>
      </c>
      <c r="N1896" s="13">
        <v>0</v>
      </c>
      <c r="O1896" s="15"/>
      <c r="P1896" s="6">
        <v>42433.880196759259</v>
      </c>
      <c r="Q1896" s="17" t="s">
        <v>6574</v>
      </c>
      <c r="R1896" s="16" t="s">
        <v>6575</v>
      </c>
      <c r="S1896" s="12"/>
      <c r="T1896" s="12"/>
      <c r="U1896" s="10" t="str">
        <f>HYPERLINK("https://pbs.twimg.com/profile_images/998092061340397568/VEl0KNsk.jpg","View")</f>
        <v>View</v>
      </c>
    </row>
    <row r="1897" spans="1:21" ht="30.6">
      <c r="A1897" s="6">
        <v>43422.908599537041</v>
      </c>
      <c r="B1897" s="7" t="str">
        <f>HYPERLINK("https://twitter.com/bergabil94","@bergabil94")</f>
        <v>@bergabil94</v>
      </c>
      <c r="C1897" s="8" t="s">
        <v>2327</v>
      </c>
      <c r="D1897" s="9" t="s">
        <v>6431</v>
      </c>
      <c r="E1897" s="10" t="str">
        <f>HYPERLINK("https://twitter.com/bergabil94/status/1064394939553988608","1064394939553988608")</f>
        <v>1064394939553988608</v>
      </c>
      <c r="F1897" s="11" t="s">
        <v>6432</v>
      </c>
      <c r="G1897" s="12"/>
      <c r="H1897" s="12"/>
      <c r="I1897" s="13">
        <v>0</v>
      </c>
      <c r="J1897" s="13">
        <v>0</v>
      </c>
      <c r="K1897" s="14" t="str">
        <f>HYPERLINK("https://ifttt.com","IFTTT")</f>
        <v>IFTTT</v>
      </c>
      <c r="L1897" s="13">
        <v>64</v>
      </c>
      <c r="M1897" s="13">
        <v>51</v>
      </c>
      <c r="N1897" s="13">
        <v>3</v>
      </c>
      <c r="O1897" s="15"/>
      <c r="P1897" s="6">
        <v>42758.047662037032</v>
      </c>
      <c r="Q1897" s="17" t="s">
        <v>26</v>
      </c>
      <c r="R1897" s="16" t="s">
        <v>2328</v>
      </c>
      <c r="S1897" s="12"/>
      <c r="T1897" s="12"/>
      <c r="U1897" s="10" t="str">
        <f>HYPERLINK("https://pbs.twimg.com/profile_images/823457736675459073/c35uioBB.jpg","View")</f>
        <v>View</v>
      </c>
    </row>
    <row r="1898" spans="1:21" ht="40.799999999999997">
      <c r="A1898" s="6">
        <v>43422.875162037039</v>
      </c>
      <c r="B1898" s="7" t="str">
        <f>HYPERLINK("https://twitter.com/Diario_16","@Diario_16")</f>
        <v>@Diario_16</v>
      </c>
      <c r="C1898" s="8" t="s">
        <v>4646</v>
      </c>
      <c r="D1898" s="9" t="s">
        <v>6576</v>
      </c>
      <c r="E1898" s="10" t="str">
        <f>HYPERLINK("https://twitter.com/Diario_16/status/1064382823187079170","1064382823187079170")</f>
        <v>1064382823187079170</v>
      </c>
      <c r="F1898" s="11" t="s">
        <v>320</v>
      </c>
      <c r="G1898" s="12"/>
      <c r="H1898" s="12"/>
      <c r="I1898" s="13">
        <v>31</v>
      </c>
      <c r="J1898" s="13">
        <v>15</v>
      </c>
      <c r="K1898" s="14" t="str">
        <f>HYPERLINK("http://diario16.com/","D16Autopost")</f>
        <v>D16Autopost</v>
      </c>
      <c r="L1898" s="13">
        <v>20953</v>
      </c>
      <c r="M1898" s="13">
        <v>1036</v>
      </c>
      <c r="N1898" s="13">
        <v>473</v>
      </c>
      <c r="O1898" s="15"/>
      <c r="P1898" s="6">
        <v>42341.489768518513</v>
      </c>
      <c r="Q1898" s="12"/>
      <c r="R1898" s="16" t="s">
        <v>4649</v>
      </c>
      <c r="S1898" s="11" t="s">
        <v>4650</v>
      </c>
      <c r="T1898" s="12"/>
      <c r="U1898" s="10" t="str">
        <f>HYPERLINK("https://pbs.twimg.com/profile_images/900024873275281409/nuXA921H.jpg","View")</f>
        <v>View</v>
      </c>
    </row>
    <row r="1899" spans="1:21" ht="20.399999999999999">
      <c r="A1899" s="6">
        <v>43422.804351851853</v>
      </c>
      <c r="B1899" s="7" t="str">
        <f>HYPERLINK("https://twitter.com/Isabel78203986","@Isabel78203986")</f>
        <v>@Isabel78203986</v>
      </c>
      <c r="C1899" s="8" t="s">
        <v>6578</v>
      </c>
      <c r="D1899" s="9" t="s">
        <v>6579</v>
      </c>
      <c r="E1899" s="10" t="str">
        <f>HYPERLINK("https://twitter.com/Isabel78203986/status/1064357162082799617","1064357162082799617")</f>
        <v>1064357162082799617</v>
      </c>
      <c r="F1899" s="11" t="s">
        <v>6580</v>
      </c>
      <c r="G1899" s="12"/>
      <c r="H1899" s="12"/>
      <c r="I1899" s="13">
        <v>0</v>
      </c>
      <c r="J1899" s="13">
        <v>0</v>
      </c>
      <c r="K1899" s="14" t="str">
        <f>HYPERLINK("http://twitter.com","Twitter Web Client")</f>
        <v>Twitter Web Client</v>
      </c>
      <c r="L1899" s="13">
        <v>6</v>
      </c>
      <c r="M1899" s="13">
        <v>9</v>
      </c>
      <c r="N1899" s="13">
        <v>0</v>
      </c>
      <c r="O1899" s="15"/>
      <c r="P1899" s="6">
        <v>43422.776863425926</v>
      </c>
      <c r="Q1899" s="17" t="s">
        <v>1124</v>
      </c>
      <c r="R1899" s="16" t="s">
        <v>6581</v>
      </c>
      <c r="S1899" s="12"/>
      <c r="T1899" s="12"/>
      <c r="U1899" s="10" t="str">
        <f>HYPERLINK("https://pbs.twimg.com/profile_images/1064350023960444928/Lu_GLejG.jpg","View")</f>
        <v>View</v>
      </c>
    </row>
    <row r="1900" spans="1:21" ht="102">
      <c r="A1900" s="6">
        <v>43422.708472222221</v>
      </c>
      <c r="B1900" s="7" t="str">
        <f>HYPERLINK("https://twitter.com/karlosfy","@karlosfy")</f>
        <v>@karlosfy</v>
      </c>
      <c r="C1900" s="8" t="s">
        <v>6582</v>
      </c>
      <c r="D1900" s="9" t="s">
        <v>6583</v>
      </c>
      <c r="E1900" s="10" t="str">
        <f>HYPERLINK("https://twitter.com/karlosfy/status/1064322416866926594","1064322416866926594")</f>
        <v>1064322416866926594</v>
      </c>
      <c r="F1900" s="11" t="s">
        <v>6584</v>
      </c>
      <c r="G1900" s="11" t="s">
        <v>6585</v>
      </c>
      <c r="H1900" s="12"/>
      <c r="I1900" s="13">
        <v>0</v>
      </c>
      <c r="J1900" s="13">
        <v>0</v>
      </c>
      <c r="K1900" s="14" t="str">
        <f t="shared" ref="K1900:K1901" si="356">HYPERLINK("http://twitter.com/download/android","Twitter for Android")</f>
        <v>Twitter for Android</v>
      </c>
      <c r="L1900" s="13">
        <v>174</v>
      </c>
      <c r="M1900" s="13">
        <v>199</v>
      </c>
      <c r="N1900" s="13">
        <v>3</v>
      </c>
      <c r="O1900" s="15"/>
      <c r="P1900" s="6">
        <v>40938.387152777781</v>
      </c>
      <c r="Q1900" s="12"/>
      <c r="R1900" s="16" t="s">
        <v>6586</v>
      </c>
      <c r="S1900" s="12"/>
      <c r="T1900" s="12"/>
      <c r="U1900" s="10" t="str">
        <f>HYPERLINK("https://pbs.twimg.com/profile_images/516318269980962816/PIrlPTXW.jpeg","View")</f>
        <v>View</v>
      </c>
    </row>
    <row r="1901" spans="1:21" ht="40.799999999999997">
      <c r="A1901" s="6">
        <v>43422.708298611113</v>
      </c>
      <c r="B1901" s="7" t="str">
        <f>HYPERLINK("https://twitter.com/errekara","@errekara")</f>
        <v>@errekara</v>
      </c>
      <c r="C1901" s="8" t="s">
        <v>6587</v>
      </c>
      <c r="D1901" s="9" t="s">
        <v>6588</v>
      </c>
      <c r="E1901" s="10" t="str">
        <f>HYPERLINK("https://twitter.com/errekara/status/1064322350714376195","1064322350714376195")</f>
        <v>1064322350714376195</v>
      </c>
      <c r="F1901" s="11" t="s">
        <v>2767</v>
      </c>
      <c r="G1901" s="12"/>
      <c r="H1901" s="12"/>
      <c r="I1901" s="13">
        <v>0</v>
      </c>
      <c r="J1901" s="13">
        <v>1</v>
      </c>
      <c r="K1901" s="14" t="str">
        <f t="shared" si="356"/>
        <v>Twitter for Android</v>
      </c>
      <c r="L1901" s="13">
        <v>576</v>
      </c>
      <c r="M1901" s="13">
        <v>511</v>
      </c>
      <c r="N1901" s="13">
        <v>2</v>
      </c>
      <c r="O1901" s="15"/>
      <c r="P1901" s="6">
        <v>42680.210104166668</v>
      </c>
      <c r="Q1901" s="17" t="s">
        <v>4906</v>
      </c>
      <c r="R1901" s="16" t="s">
        <v>6589</v>
      </c>
      <c r="S1901" s="12"/>
      <c r="T1901" s="12"/>
      <c r="U1901" s="10" t="str">
        <f>HYPERLINK("https://pbs.twimg.com/profile_images/1058872656735494149/tWeU87Uh.jpg","View")</f>
        <v>View</v>
      </c>
    </row>
    <row r="1902" spans="1:21" ht="30.6">
      <c r="A1902" s="6">
        <v>43422.69703703704</v>
      </c>
      <c r="B1902" s="7" t="str">
        <f>HYPERLINK("https://twitter.com/cuin1425","@cuin1425")</f>
        <v>@cuin1425</v>
      </c>
      <c r="C1902" s="8" t="s">
        <v>5080</v>
      </c>
      <c r="D1902" s="9" t="s">
        <v>6243</v>
      </c>
      <c r="E1902" s="10" t="str">
        <f>HYPERLINK("https://twitter.com/cuin1425/status/1064318270470307843","1064318270470307843")</f>
        <v>1064318270470307843</v>
      </c>
      <c r="F1902" s="11" t="s">
        <v>6590</v>
      </c>
      <c r="G1902" s="12"/>
      <c r="H1902" s="12"/>
      <c r="I1902" s="13">
        <v>0</v>
      </c>
      <c r="J1902" s="13">
        <v>0</v>
      </c>
      <c r="K1902" s="14" t="str">
        <f>HYPERLINK("http://www.facebook.com/twitter","Facebook")</f>
        <v>Facebook</v>
      </c>
      <c r="L1902" s="13">
        <v>579</v>
      </c>
      <c r="M1902" s="13">
        <v>977</v>
      </c>
      <c r="N1902" s="13">
        <v>13</v>
      </c>
      <c r="O1902" s="15"/>
      <c r="P1902" s="6">
        <v>40274.062928240739</v>
      </c>
      <c r="Q1902" s="17" t="s">
        <v>3171</v>
      </c>
      <c r="R1902" s="16" t="s">
        <v>5084</v>
      </c>
      <c r="S1902" s="12"/>
      <c r="T1902" s="12"/>
      <c r="U1902" s="10" t="str">
        <f>HYPERLINK("https://pbs.twimg.com/profile_images/820055555305832448/qbgSwEuX.jpg","View")</f>
        <v>View</v>
      </c>
    </row>
    <row r="1903" spans="1:21" ht="61.2">
      <c r="A1903" s="6">
        <v>43422.683495370366</v>
      </c>
      <c r="B1903" s="7" t="str">
        <f>HYPERLINK("https://twitter.com/ManRSanSan1","@ManRSanSan1")</f>
        <v>@ManRSanSan1</v>
      </c>
      <c r="C1903" s="8" t="s">
        <v>6591</v>
      </c>
      <c r="D1903" s="9" t="s">
        <v>6592</v>
      </c>
      <c r="E1903" s="10" t="str">
        <f>HYPERLINK("https://twitter.com/ManRSanSan1/status/1064313362421559296","1064313362421559296")</f>
        <v>1064313362421559296</v>
      </c>
      <c r="F1903" s="17" t="s">
        <v>6087</v>
      </c>
      <c r="G1903" s="12"/>
      <c r="H1903" s="12"/>
      <c r="I1903" s="13">
        <v>0</v>
      </c>
      <c r="J1903" s="13">
        <v>0</v>
      </c>
      <c r="K1903" s="14" t="str">
        <f>HYPERLINK("http://twitter.com/download/android","Twitter for Android")</f>
        <v>Twitter for Android</v>
      </c>
      <c r="L1903" s="13">
        <v>389</v>
      </c>
      <c r="M1903" s="13">
        <v>1470</v>
      </c>
      <c r="N1903" s="13">
        <v>1</v>
      </c>
      <c r="O1903" s="15"/>
      <c r="P1903" s="6">
        <v>42798.440150462964</v>
      </c>
      <c r="Q1903" s="17" t="s">
        <v>6593</v>
      </c>
      <c r="R1903" s="16" t="s">
        <v>6594</v>
      </c>
      <c r="S1903" s="12"/>
      <c r="T1903" s="12"/>
      <c r="U1903" s="10" t="str">
        <f>HYPERLINK("https://pbs.twimg.com/profile_images/1062792207386722305/DRj1n9Ze.jpg","View")</f>
        <v>View</v>
      </c>
    </row>
    <row r="1904" spans="1:21" ht="30.6">
      <c r="A1904" s="6">
        <v>43422.663136574076</v>
      </c>
      <c r="B1904" s="7" t="str">
        <f>HYPERLINK("https://twitter.com/juanfernandodt","@juanfernandodt")</f>
        <v>@juanfernandodt</v>
      </c>
      <c r="C1904" s="8" t="s">
        <v>6595</v>
      </c>
      <c r="D1904" s="9" t="s">
        <v>6596</v>
      </c>
      <c r="E1904" s="10" t="str">
        <f>HYPERLINK("https://twitter.com/juanfernandodt/status/1064305986675056641","1064305986675056641")</f>
        <v>1064305986675056641</v>
      </c>
      <c r="F1904" s="11" t="s">
        <v>6597</v>
      </c>
      <c r="G1904" s="12"/>
      <c r="H1904" s="12"/>
      <c r="I1904" s="13">
        <v>0</v>
      </c>
      <c r="J1904" s="13">
        <v>0</v>
      </c>
      <c r="K1904" s="14" t="str">
        <f>HYPERLINK("http://twitter.com","Twitter Web Client")</f>
        <v>Twitter Web Client</v>
      </c>
      <c r="L1904" s="13">
        <v>827</v>
      </c>
      <c r="M1904" s="13">
        <v>856</v>
      </c>
      <c r="N1904" s="13">
        <v>69</v>
      </c>
      <c r="O1904" s="15"/>
      <c r="P1904" s="6">
        <v>40262.226238425923</v>
      </c>
      <c r="Q1904" s="17" t="s">
        <v>76</v>
      </c>
      <c r="R1904" s="16" t="s">
        <v>6598</v>
      </c>
      <c r="S1904" s="11" t="s">
        <v>6599</v>
      </c>
      <c r="T1904" s="12"/>
      <c r="U1904" s="10" t="str">
        <f>HYPERLINK("https://pbs.twimg.com/profile_images/994171977337274368/q---p9ij.jpg","View")</f>
        <v>View</v>
      </c>
    </row>
    <row r="1905" spans="1:21" ht="40.799999999999997">
      <c r="A1905" s="6">
        <v>43422.662523148145</v>
      </c>
      <c r="B1905" s="7" t="str">
        <f>HYPERLINK("https://twitter.com/mentxudripos","@mentxudripos")</f>
        <v>@mentxudripos</v>
      </c>
      <c r="C1905" s="8" t="s">
        <v>6600</v>
      </c>
      <c r="D1905" s="9" t="s">
        <v>6601</v>
      </c>
      <c r="E1905" s="10" t="str">
        <f>HYPERLINK("https://twitter.com/mentxudripos/status/1064305765161332736","1064305765161332736")</f>
        <v>1064305765161332736</v>
      </c>
      <c r="F1905" s="11" t="s">
        <v>6602</v>
      </c>
      <c r="G1905" s="11" t="s">
        <v>6603</v>
      </c>
      <c r="H1905" s="12"/>
      <c r="I1905" s="13">
        <v>0</v>
      </c>
      <c r="J1905" s="13">
        <v>0</v>
      </c>
      <c r="K1905" s="14" t="str">
        <f>HYPERLINK("https://ifttt.com","IFTTT")</f>
        <v>IFTTT</v>
      </c>
      <c r="L1905" s="13">
        <v>623</v>
      </c>
      <c r="M1905" s="13">
        <v>566</v>
      </c>
      <c r="N1905" s="13">
        <v>31</v>
      </c>
      <c r="O1905" s="15"/>
      <c r="P1905" s="6">
        <v>39956.349722222221</v>
      </c>
      <c r="Q1905" s="17" t="s">
        <v>143</v>
      </c>
      <c r="R1905" s="16" t="s">
        <v>6604</v>
      </c>
      <c r="S1905" s="12"/>
      <c r="T1905" s="12"/>
      <c r="U1905" s="10" t="str">
        <f>HYPERLINK("https://pbs.twimg.com/profile_images/968158915530838016/d710fCSP.jpg","View")</f>
        <v>View</v>
      </c>
    </row>
    <row r="1906" spans="1:21" ht="30.6">
      <c r="A1906" s="6">
        <v>43422.661770833336</v>
      </c>
      <c r="B1906" s="7" t="str">
        <f>HYPERLINK("https://twitter.com/HechosdeHoy","@HechosdeHoy")</f>
        <v>@HechosdeHoy</v>
      </c>
      <c r="C1906" s="8" t="s">
        <v>6605</v>
      </c>
      <c r="D1906" s="9" t="s">
        <v>6606</v>
      </c>
      <c r="E1906" s="10" t="str">
        <f>HYPERLINK("https://twitter.com/HechosdeHoy/status/1064305491352961030","1064305491352961030")</f>
        <v>1064305491352961030</v>
      </c>
      <c r="F1906" s="11" t="s">
        <v>6607</v>
      </c>
      <c r="G1906" s="12"/>
      <c r="H1906" s="12"/>
      <c r="I1906" s="13">
        <v>0</v>
      </c>
      <c r="J1906" s="13">
        <v>0</v>
      </c>
      <c r="K1906" s="14" t="str">
        <f t="shared" ref="K1906:K1907" si="357">HYPERLINK("https://www.hootsuite.com","Hootsuite Inc.")</f>
        <v>Hootsuite Inc.</v>
      </c>
      <c r="L1906" s="13">
        <v>1703</v>
      </c>
      <c r="M1906" s="13">
        <v>192</v>
      </c>
      <c r="N1906" s="13">
        <v>154</v>
      </c>
      <c r="O1906" s="15"/>
      <c r="P1906" s="6">
        <v>40218.480428240742</v>
      </c>
      <c r="Q1906" s="17" t="s">
        <v>374</v>
      </c>
      <c r="R1906" s="16" t="s">
        <v>6608</v>
      </c>
      <c r="S1906" s="11" t="s">
        <v>6599</v>
      </c>
      <c r="T1906" s="12"/>
      <c r="U1906" s="10" t="str">
        <f>HYPERLINK("https://pbs.twimg.com/profile_images/464409453521940481/yT0nJ-FF.jpeg","View")</f>
        <v>View</v>
      </c>
    </row>
    <row r="1907" spans="1:21" ht="30.6">
      <c r="A1907" s="6">
        <v>43422.661678240736</v>
      </c>
      <c r="B1907" s="7" t="str">
        <f>HYPERLINK("https://twitter.com/AngelikaKLoewe","@AngelikaKLoewe")</f>
        <v>@AngelikaKLoewe</v>
      </c>
      <c r="C1907" s="8" t="s">
        <v>6609</v>
      </c>
      <c r="D1907" s="9" t="s">
        <v>6606</v>
      </c>
      <c r="E1907" s="10" t="str">
        <f>HYPERLINK("https://twitter.com/AngelikaKLoewe/status/1064305458457075712","1064305458457075712")</f>
        <v>1064305458457075712</v>
      </c>
      <c r="F1907" s="11" t="s">
        <v>6607</v>
      </c>
      <c r="G1907" s="12"/>
      <c r="H1907" s="12"/>
      <c r="I1907" s="13">
        <v>0</v>
      </c>
      <c r="J1907" s="13">
        <v>0</v>
      </c>
      <c r="K1907" s="14" t="str">
        <f t="shared" si="357"/>
        <v>Hootsuite Inc.</v>
      </c>
      <c r="L1907" s="13">
        <v>486</v>
      </c>
      <c r="M1907" s="13">
        <v>281</v>
      </c>
      <c r="N1907" s="13">
        <v>131</v>
      </c>
      <c r="O1907" s="15"/>
      <c r="P1907" s="6">
        <v>40790.56967592593</v>
      </c>
      <c r="Q1907" s="17" t="s">
        <v>29</v>
      </c>
      <c r="R1907" s="16" t="s">
        <v>6610</v>
      </c>
      <c r="S1907" s="11" t="s">
        <v>6599</v>
      </c>
      <c r="T1907" s="12"/>
      <c r="U1907" s="10" t="str">
        <f>HYPERLINK("https://pbs.twimg.com/profile_images/918571671069560832/Ne24q9Qu.jpg","View")</f>
        <v>View</v>
      </c>
    </row>
    <row r="1908" spans="1:21" ht="13.2">
      <c r="A1908" s="6">
        <v>43422.661423611113</v>
      </c>
      <c r="B1908" s="7" t="str">
        <f>HYPERLINK("https://twitter.com/Arturitosss","@Arturitosss")</f>
        <v>@Arturitosss</v>
      </c>
      <c r="C1908" s="8" t="s">
        <v>6611</v>
      </c>
      <c r="D1908" s="9" t="s">
        <v>6612</v>
      </c>
      <c r="E1908" s="10" t="str">
        <f>HYPERLINK("https://twitter.com/Arturitosss/status/1064305366350118917","1064305366350118917")</f>
        <v>1064305366350118917</v>
      </c>
      <c r="F1908" s="11" t="s">
        <v>6597</v>
      </c>
      <c r="G1908" s="12"/>
      <c r="H1908" s="12"/>
      <c r="I1908" s="13">
        <v>0</v>
      </c>
      <c r="J1908" s="13">
        <v>0</v>
      </c>
      <c r="K1908" s="14" t="str">
        <f t="shared" ref="K1908:K1911" si="358">HYPERLINK("http://twitter.com","Twitter Web Client")</f>
        <v>Twitter Web Client</v>
      </c>
      <c r="L1908" s="13">
        <v>182</v>
      </c>
      <c r="M1908" s="13">
        <v>265</v>
      </c>
      <c r="N1908" s="13">
        <v>55</v>
      </c>
      <c r="O1908" s="15"/>
      <c r="P1908" s="6">
        <v>40803.571620370371</v>
      </c>
      <c r="Q1908" s="17" t="s">
        <v>6613</v>
      </c>
      <c r="R1908" s="16" t="s">
        <v>6614</v>
      </c>
      <c r="S1908" s="12"/>
      <c r="T1908" s="12"/>
      <c r="U1908" s="10" t="str">
        <f>HYPERLINK("https://pbs.twimg.com/profile_images/2569497955/9bcndf9z02752bh9ia7m.jpeg","View")</f>
        <v>View</v>
      </c>
    </row>
    <row r="1909" spans="1:21" ht="20.399999999999999">
      <c r="A1909" s="6">
        <v>43422.657407407409</v>
      </c>
      <c r="B1909" s="7" t="str">
        <f>HYPERLINK("https://twitter.com/alcazar_miguel","@alcazar_miguel")</f>
        <v>@alcazar_miguel</v>
      </c>
      <c r="C1909" s="8" t="s">
        <v>6615</v>
      </c>
      <c r="D1909" s="9" t="s">
        <v>6353</v>
      </c>
      <c r="E1909" s="10" t="str">
        <f>HYPERLINK("https://twitter.com/alcazar_miguel/status/1064303907755704320","1064303907755704320")</f>
        <v>1064303907755704320</v>
      </c>
      <c r="F1909" s="11" t="s">
        <v>5087</v>
      </c>
      <c r="G1909" s="12"/>
      <c r="H1909" s="12"/>
      <c r="I1909" s="13">
        <v>0</v>
      </c>
      <c r="J1909" s="13">
        <v>0</v>
      </c>
      <c r="K1909" s="14" t="str">
        <f t="shared" si="358"/>
        <v>Twitter Web Client</v>
      </c>
      <c r="L1909" s="13">
        <v>4055</v>
      </c>
      <c r="M1909" s="13">
        <v>3606</v>
      </c>
      <c r="N1909" s="13">
        <v>55</v>
      </c>
      <c r="O1909" s="15"/>
      <c r="P1909" s="6">
        <v>41161.102939814817</v>
      </c>
      <c r="Q1909" s="12"/>
      <c r="R1909" s="16" t="s">
        <v>6616</v>
      </c>
      <c r="S1909" s="12"/>
      <c r="T1909" s="12"/>
      <c r="U1909" s="10" t="str">
        <f>HYPERLINK("https://pbs.twimg.com/profile_images/995220487960715264/LimPn8HL.jpg","View")</f>
        <v>View</v>
      </c>
    </row>
    <row r="1910" spans="1:21" ht="30.6">
      <c r="A1910" s="6">
        <v>43422.656030092592</v>
      </c>
      <c r="B1910" s="7" t="str">
        <f>HYPERLINK("https://twitter.com/pablo_casado","@pablo_casado")</f>
        <v>@pablo_casado</v>
      </c>
      <c r="C1910" s="8" t="s">
        <v>353</v>
      </c>
      <c r="D1910" s="9" t="s">
        <v>6617</v>
      </c>
      <c r="E1910" s="10" t="str">
        <f>HYPERLINK("https://twitter.com/pablo_casado/status/1064303408633524224","1064303408633524224")</f>
        <v>1064303408633524224</v>
      </c>
      <c r="F1910" s="12"/>
      <c r="G1910" s="12"/>
      <c r="H1910" s="12"/>
      <c r="I1910" s="13">
        <v>0</v>
      </c>
      <c r="J1910" s="13">
        <v>7</v>
      </c>
      <c r="K1910" s="14" t="str">
        <f t="shared" si="358"/>
        <v>Twitter Web Client</v>
      </c>
      <c r="L1910" s="13">
        <v>798</v>
      </c>
      <c r="M1910" s="13">
        <v>1165</v>
      </c>
      <c r="N1910" s="13">
        <v>16</v>
      </c>
      <c r="O1910" s="15"/>
      <c r="P1910" s="6">
        <v>40631.269189814819</v>
      </c>
      <c r="Q1910" s="17" t="s">
        <v>356</v>
      </c>
      <c r="R1910" s="16" t="s">
        <v>357</v>
      </c>
      <c r="S1910" s="11" t="s">
        <v>358</v>
      </c>
      <c r="T1910" s="12"/>
      <c r="U1910" s="10" t="str">
        <f>HYPERLINK("https://pbs.twimg.com/profile_images/960372546393837569/o7y23nco.jpg","View")</f>
        <v>View</v>
      </c>
    </row>
    <row r="1911" spans="1:21" ht="51">
      <c r="A1911" s="6">
        <v>43422.654953703706</v>
      </c>
      <c r="B1911" s="7" t="str">
        <f>HYPERLINK("https://twitter.com/julianignacio33","@julianignacio33")</f>
        <v>@julianignacio33</v>
      </c>
      <c r="C1911" s="8" t="s">
        <v>449</v>
      </c>
      <c r="D1911" s="9" t="s">
        <v>6618</v>
      </c>
      <c r="E1911" s="10" t="str">
        <f>HYPERLINK("https://twitter.com/julianignacio33/status/1064303021293793280","1064303021293793280")</f>
        <v>1064303021293793280</v>
      </c>
      <c r="F1911" s="12"/>
      <c r="G1911" s="12"/>
      <c r="H1911" s="12"/>
      <c r="I1911" s="13">
        <v>0</v>
      </c>
      <c r="J1911" s="13">
        <v>0</v>
      </c>
      <c r="K1911" s="14" t="str">
        <f t="shared" si="358"/>
        <v>Twitter Web Client</v>
      </c>
      <c r="L1911" s="13">
        <v>61</v>
      </c>
      <c r="M1911" s="13">
        <v>699</v>
      </c>
      <c r="N1911" s="13">
        <v>0</v>
      </c>
      <c r="O1911" s="15"/>
      <c r="P1911" s="6">
        <v>42856.475844907407</v>
      </c>
      <c r="Q1911" s="12"/>
      <c r="R1911" s="18"/>
      <c r="S1911" s="12"/>
      <c r="T1911" s="12"/>
      <c r="U1911" s="10" t="str">
        <f>HYPERLINK("https://pbs.twimg.com/profile_images/1018202218548297728/EdhmuOKT.jpg","View")</f>
        <v>View</v>
      </c>
    </row>
    <row r="1912" spans="1:21" ht="40.799999999999997">
      <c r="A1912" s="6">
        <v>43422.647719907407</v>
      </c>
      <c r="B1912" s="7" t="str">
        <f>HYPERLINK("https://twitter.com/forasterana","@forasterana")</f>
        <v>@forasterana</v>
      </c>
      <c r="C1912" s="8" t="s">
        <v>6619</v>
      </c>
      <c r="D1912" s="9" t="s">
        <v>6620</v>
      </c>
      <c r="E1912" s="10" t="str">
        <f>HYPERLINK("https://twitter.com/forasterana/status/1064300397861498881","1064300397861498881")</f>
        <v>1064300397861498881</v>
      </c>
      <c r="F1912" s="12"/>
      <c r="G1912" s="12"/>
      <c r="H1912" s="12"/>
      <c r="I1912" s="13">
        <v>0</v>
      </c>
      <c r="J1912" s="13">
        <v>0</v>
      </c>
      <c r="K1912" s="14" t="str">
        <f t="shared" ref="K1912:K1914" si="359">HYPERLINK("http://twitter.com/download/android","Twitter for Android")</f>
        <v>Twitter for Android</v>
      </c>
      <c r="L1912" s="13">
        <v>2797</v>
      </c>
      <c r="M1912" s="13">
        <v>4332</v>
      </c>
      <c r="N1912" s="13">
        <v>28</v>
      </c>
      <c r="O1912" s="15"/>
      <c r="P1912" s="6">
        <v>40298.193032407406</v>
      </c>
      <c r="Q1912" s="17" t="s">
        <v>6621</v>
      </c>
      <c r="R1912" s="16" t="s">
        <v>6622</v>
      </c>
      <c r="S1912" s="12"/>
      <c r="T1912" s="12"/>
      <c r="U1912" s="10" t="str">
        <f>HYPERLINK("https://pbs.twimg.com/profile_images/996409887897907205/zNPdDuSP.jpg","View")</f>
        <v>View</v>
      </c>
    </row>
    <row r="1913" spans="1:21" ht="51">
      <c r="A1913" s="6">
        <v>43422.635324074072</v>
      </c>
      <c r="B1913" s="7" t="str">
        <f>HYPERLINK("https://twitter.com/MrAmromero","@MrAmromero")</f>
        <v>@MrAmromero</v>
      </c>
      <c r="C1913" s="8" t="s">
        <v>6623</v>
      </c>
      <c r="D1913" s="9" t="s">
        <v>6624</v>
      </c>
      <c r="E1913" s="10" t="str">
        <f>HYPERLINK("https://twitter.com/MrAmromero/status/1064295906248409088","1064295906248409088")</f>
        <v>1064295906248409088</v>
      </c>
      <c r="F1913" s="12"/>
      <c r="G1913" s="12"/>
      <c r="H1913" s="12"/>
      <c r="I1913" s="13">
        <v>1</v>
      </c>
      <c r="J1913" s="13">
        <v>20</v>
      </c>
      <c r="K1913" s="14" t="str">
        <f t="shared" si="359"/>
        <v>Twitter for Android</v>
      </c>
      <c r="L1913" s="13">
        <v>1318</v>
      </c>
      <c r="M1913" s="13">
        <v>599</v>
      </c>
      <c r="N1913" s="13">
        <v>22</v>
      </c>
      <c r="O1913" s="15"/>
      <c r="P1913" s="6">
        <v>39808.16578703704</v>
      </c>
      <c r="Q1913" s="17" t="s">
        <v>6625</v>
      </c>
      <c r="R1913" s="16" t="s">
        <v>6626</v>
      </c>
      <c r="S1913" s="11" t="s">
        <v>6627</v>
      </c>
      <c r="T1913" s="12"/>
      <c r="U1913" s="10" t="str">
        <f>HYPERLINK("https://pbs.twimg.com/profile_images/854390500069081089/k8nJXfq7.jpg","View")</f>
        <v>View</v>
      </c>
    </row>
    <row r="1914" spans="1:21" ht="40.799999999999997">
      <c r="A1914" s="6">
        <v>43422.634328703702</v>
      </c>
      <c r="B1914" s="7" t="str">
        <f>HYPERLINK("https://twitter.com/Radiolamina","@Radiolamina")</f>
        <v>@Radiolamina</v>
      </c>
      <c r="C1914" s="8" t="s">
        <v>6628</v>
      </c>
      <c r="D1914" s="9" t="s">
        <v>6629</v>
      </c>
      <c r="E1914" s="10" t="str">
        <f>HYPERLINK("https://twitter.com/Radiolamina/status/1064295547601850375","1064295547601850375")</f>
        <v>1064295547601850375</v>
      </c>
      <c r="F1914" s="11" t="s">
        <v>5009</v>
      </c>
      <c r="G1914" s="12"/>
      <c r="H1914" s="12"/>
      <c r="I1914" s="13">
        <v>67</v>
      </c>
      <c r="J1914" s="13">
        <v>17</v>
      </c>
      <c r="K1914" s="14" t="str">
        <f t="shared" si="359"/>
        <v>Twitter for Android</v>
      </c>
      <c r="L1914" s="13">
        <v>11364</v>
      </c>
      <c r="M1914" s="13">
        <v>2890</v>
      </c>
      <c r="N1914" s="13">
        <v>86</v>
      </c>
      <c r="O1914" s="15"/>
      <c r="P1914" s="6">
        <v>40052.373506944445</v>
      </c>
      <c r="Q1914" s="17" t="s">
        <v>6630</v>
      </c>
      <c r="R1914" s="16" t="s">
        <v>6631</v>
      </c>
      <c r="S1914" s="11" t="s">
        <v>6632</v>
      </c>
      <c r="T1914" s="12"/>
      <c r="U1914" s="10" t="str">
        <f>HYPERLINK("https://pbs.twimg.com/profile_images/1022133616304898054/8JX95zQq.jpg","View")</f>
        <v>View</v>
      </c>
    </row>
    <row r="1915" spans="1:21" ht="30.6">
      <c r="A1915" s="6">
        <v>43422.634039351848</v>
      </c>
      <c r="B1915" s="7" t="str">
        <f>HYPERLINK("https://twitter.com/Marta51970","@Marta51970")</f>
        <v>@Marta51970</v>
      </c>
      <c r="C1915" s="8" t="s">
        <v>6633</v>
      </c>
      <c r="D1915" s="9" t="s">
        <v>6634</v>
      </c>
      <c r="E1915" s="10" t="str">
        <f>HYPERLINK("https://twitter.com/Marta51970/status/1064295439200149504","1064295439200149504")</f>
        <v>1064295439200149504</v>
      </c>
      <c r="F1915" s="11" t="s">
        <v>5997</v>
      </c>
      <c r="G1915" s="12"/>
      <c r="H1915" s="12"/>
      <c r="I1915" s="13">
        <v>0</v>
      </c>
      <c r="J1915" s="13">
        <v>0</v>
      </c>
      <c r="K1915" s="14" t="str">
        <f>HYPERLINK("http://twitter.com","Twitter Web Client")</f>
        <v>Twitter Web Client</v>
      </c>
      <c r="L1915" s="13">
        <v>1135</v>
      </c>
      <c r="M1915" s="13">
        <v>1208</v>
      </c>
      <c r="N1915" s="13">
        <v>19</v>
      </c>
      <c r="O1915" s="15"/>
      <c r="P1915" s="6">
        <v>41881.721898148149</v>
      </c>
      <c r="Q1915" s="17" t="s">
        <v>76</v>
      </c>
      <c r="R1915" s="16" t="s">
        <v>6635</v>
      </c>
      <c r="S1915" s="11" t="s">
        <v>6636</v>
      </c>
      <c r="T1915" s="12"/>
      <c r="U1915" s="10" t="str">
        <f>HYPERLINK("https://pbs.twimg.com/profile_images/505874739521282048/iRYWketv.jpeg","View")</f>
        <v>View</v>
      </c>
    </row>
    <row r="1916" spans="1:21" ht="20.399999999999999">
      <c r="A1916" s="6">
        <v>43422.631550925929</v>
      </c>
      <c r="B1916" s="7" t="str">
        <f>HYPERLINK("https://twitter.com/fr1j0","@fr1j0")</f>
        <v>@fr1j0</v>
      </c>
      <c r="C1916" s="8" t="s">
        <v>6637</v>
      </c>
      <c r="D1916" s="9" t="s">
        <v>6638</v>
      </c>
      <c r="E1916" s="10" t="str">
        <f>HYPERLINK("https://twitter.com/fr1j0/status/1064294537953079296","1064294537953079296")</f>
        <v>1064294537953079296</v>
      </c>
      <c r="F1916" s="12"/>
      <c r="G1916" s="12"/>
      <c r="H1916" s="12"/>
      <c r="I1916" s="13">
        <v>0</v>
      </c>
      <c r="J1916" s="13">
        <v>0</v>
      </c>
      <c r="K1916" s="14" t="str">
        <f>HYPERLINK("http://twitter.com/download/iphone","Twitter for iPhone")</f>
        <v>Twitter for iPhone</v>
      </c>
      <c r="L1916" s="13">
        <v>512</v>
      </c>
      <c r="M1916" s="13">
        <v>1064</v>
      </c>
      <c r="N1916" s="13">
        <v>19</v>
      </c>
      <c r="O1916" s="15"/>
      <c r="P1916" s="6">
        <v>39801.457118055558</v>
      </c>
      <c r="Q1916" s="12"/>
      <c r="R1916" s="16" t="s">
        <v>6639</v>
      </c>
      <c r="S1916" s="12"/>
      <c r="T1916" s="12"/>
      <c r="U1916" s="10" t="str">
        <f>HYPERLINK("https://pbs.twimg.com/profile_images/990187772752297984/5R5HKzir.jpg","View")</f>
        <v>View</v>
      </c>
    </row>
    <row r="1917" spans="1:21" ht="20.399999999999999">
      <c r="A1917" s="6">
        <v>43422.630960648152</v>
      </c>
      <c r="B1917" s="7" t="str">
        <f>HYPERLINK("https://twitter.com/prsardinero","@prsardinero")</f>
        <v>@prsardinero</v>
      </c>
      <c r="C1917" s="8" t="s">
        <v>6640</v>
      </c>
      <c r="D1917" s="9" t="s">
        <v>6641</v>
      </c>
      <c r="E1917" s="10" t="str">
        <f>HYPERLINK("https://twitter.com/prsardinero/status/1064294324958085152","1064294324958085152")</f>
        <v>1064294324958085152</v>
      </c>
      <c r="F1917" s="11" t="s">
        <v>5715</v>
      </c>
      <c r="G1917" s="12"/>
      <c r="H1917" s="12"/>
      <c r="I1917" s="13">
        <v>0</v>
      </c>
      <c r="J1917" s="13">
        <v>1</v>
      </c>
      <c r="K1917" s="14" t="str">
        <f>HYPERLINK("http://twitter.com","Twitter Web Client")</f>
        <v>Twitter Web Client</v>
      </c>
      <c r="L1917" s="13">
        <v>3281</v>
      </c>
      <c r="M1917" s="13">
        <v>1468</v>
      </c>
      <c r="N1917" s="13">
        <v>76</v>
      </c>
      <c r="O1917" s="15"/>
      <c r="P1917" s="6">
        <v>40485.161504629628</v>
      </c>
      <c r="Q1917" s="12"/>
      <c r="R1917" s="16" t="s">
        <v>6642</v>
      </c>
      <c r="S1917" s="11" t="s">
        <v>6643</v>
      </c>
      <c r="T1917" s="12"/>
      <c r="U1917" s="10" t="str">
        <f>HYPERLINK("https://pbs.twimg.com/profile_images/923975231437500416/FFiOOfxO.jpg","View")</f>
        <v>View</v>
      </c>
    </row>
    <row r="1918" spans="1:21" ht="20.399999999999999">
      <c r="A1918" s="6">
        <v>43422.630104166667</v>
      </c>
      <c r="B1918" s="7" t="str">
        <f>HYPERLINK("https://twitter.com/salvadorcardus","@salvadorcardus")</f>
        <v>@salvadorcardus</v>
      </c>
      <c r="C1918" s="8" t="s">
        <v>6644</v>
      </c>
      <c r="D1918" s="9" t="s">
        <v>1940</v>
      </c>
      <c r="E1918" s="10" t="str">
        <f>HYPERLINK("https://twitter.com/salvadorcardus/status/1064294013283504128","1064294013283504128")</f>
        <v>1064294013283504128</v>
      </c>
      <c r="F1918" s="11" t="s">
        <v>1941</v>
      </c>
      <c r="G1918" s="12"/>
      <c r="H1918" s="12"/>
      <c r="I1918" s="13">
        <v>13</v>
      </c>
      <c r="J1918" s="13">
        <v>13</v>
      </c>
      <c r="K1918" s="14" t="str">
        <f>HYPERLINK("http://www.facebook.com/twitter","Facebook")</f>
        <v>Facebook</v>
      </c>
      <c r="L1918" s="13">
        <v>75998</v>
      </c>
      <c r="M1918" s="13">
        <v>985</v>
      </c>
      <c r="N1918" s="13">
        <v>799</v>
      </c>
      <c r="O1918" s="15"/>
      <c r="P1918" s="6">
        <v>40393.370266203703</v>
      </c>
      <c r="Q1918" s="17" t="s">
        <v>6645</v>
      </c>
      <c r="R1918" s="18"/>
      <c r="S1918" s="11" t="s">
        <v>6646</v>
      </c>
      <c r="T1918" s="12"/>
      <c r="U1918" s="10" t="str">
        <f>HYPERLINK("https://pbs.twimg.com/profile_images/954345948708294659/lRq5gvAo.jpg","View")</f>
        <v>View</v>
      </c>
    </row>
    <row r="1919" spans="1:21" ht="30.6">
      <c r="A1919" s="6">
        <v>43422.629375000004</v>
      </c>
      <c r="B1919" s="7" t="str">
        <f>HYPERLINK("https://twitter.com/KobaML","@KobaML")</f>
        <v>@KobaML</v>
      </c>
      <c r="C1919" s="8" t="s">
        <v>6647</v>
      </c>
      <c r="D1919" s="9" t="s">
        <v>6648</v>
      </c>
      <c r="E1919" s="10" t="str">
        <f>HYPERLINK("https://twitter.com/KobaML/status/1064293749025632256","1064293749025632256")</f>
        <v>1064293749025632256</v>
      </c>
      <c r="F1919" s="11" t="s">
        <v>5818</v>
      </c>
      <c r="G1919" s="12"/>
      <c r="H1919" s="12"/>
      <c r="I1919" s="13">
        <v>7</v>
      </c>
      <c r="J1919" s="13">
        <v>12</v>
      </c>
      <c r="K1919" s="14" t="str">
        <f>HYPERLINK("http://twitter.com","Twitter Web Client")</f>
        <v>Twitter Web Client</v>
      </c>
      <c r="L1919" s="13">
        <v>3639</v>
      </c>
      <c r="M1919" s="13">
        <v>733</v>
      </c>
      <c r="N1919" s="13">
        <v>49</v>
      </c>
      <c r="O1919" s="15"/>
      <c r="P1919" s="6">
        <v>40568.57203703704</v>
      </c>
      <c r="Q1919" s="17" t="s">
        <v>6649</v>
      </c>
      <c r="R1919" s="16" t="s">
        <v>6650</v>
      </c>
      <c r="S1919" s="11" t="s">
        <v>6651</v>
      </c>
      <c r="T1919" s="12"/>
      <c r="U1919" s="10" t="str">
        <f>HYPERLINK("https://pbs.twimg.com/profile_images/803732034501877760/sO9lpH0z.jpg","View")</f>
        <v>View</v>
      </c>
    </row>
    <row r="1920" spans="1:21" ht="71.400000000000006">
      <c r="A1920" s="6">
        <v>43422.627326388887</v>
      </c>
      <c r="B1920" s="7" t="str">
        <f>HYPERLINK("https://twitter.com/EponineLives","@EponineLives")</f>
        <v>@EponineLives</v>
      </c>
      <c r="C1920" s="8" t="s">
        <v>6652</v>
      </c>
      <c r="D1920" s="9" t="s">
        <v>6653</v>
      </c>
      <c r="E1920" s="10" t="str">
        <f>HYPERLINK("https://twitter.com/EponineLives/status/1064293006851883008","1064293006851883008")</f>
        <v>1064293006851883008</v>
      </c>
      <c r="F1920" s="11" t="s">
        <v>6654</v>
      </c>
      <c r="G1920" s="11" t="s">
        <v>6655</v>
      </c>
      <c r="H1920" s="12"/>
      <c r="I1920" s="13">
        <v>0</v>
      </c>
      <c r="J1920" s="13">
        <v>0</v>
      </c>
      <c r="K1920" s="14" t="str">
        <f t="shared" ref="K1920:K1922" si="360">HYPERLINK("http://twitter.com/download/android","Twitter for Android")</f>
        <v>Twitter for Android</v>
      </c>
      <c r="L1920" s="13">
        <v>289</v>
      </c>
      <c r="M1920" s="13">
        <v>241</v>
      </c>
      <c r="N1920" s="13">
        <v>11</v>
      </c>
      <c r="O1920" s="15"/>
      <c r="P1920" s="6">
        <v>40934.31868055556</v>
      </c>
      <c r="Q1920" s="17" t="s">
        <v>6656</v>
      </c>
      <c r="R1920" s="16" t="s">
        <v>6657</v>
      </c>
      <c r="S1920" s="11" t="s">
        <v>6658</v>
      </c>
      <c r="T1920" s="12"/>
      <c r="U1920" s="10" t="str">
        <f>HYPERLINK("https://pbs.twimg.com/profile_images/817733209366601728/g__3qwZX.jpg","View")</f>
        <v>View</v>
      </c>
    </row>
    <row r="1921" spans="1:21" ht="30.6">
      <c r="A1921" s="6">
        <v>43422.62700231481</v>
      </c>
      <c r="B1921" s="7" t="str">
        <f>HYPERLINK("https://twitter.com/Migueln53227148","@Migueln53227148")</f>
        <v>@Migueln53227148</v>
      </c>
      <c r="C1921" s="8" t="s">
        <v>5228</v>
      </c>
      <c r="D1921" s="9" t="s">
        <v>6659</v>
      </c>
      <c r="E1921" s="10" t="str">
        <f>HYPERLINK("https://twitter.com/Migueln53227148/status/1064292891324006400","1064292891324006400")</f>
        <v>1064292891324006400</v>
      </c>
      <c r="F1921" s="12"/>
      <c r="G1921" s="12"/>
      <c r="H1921" s="12"/>
      <c r="I1921" s="13">
        <v>0</v>
      </c>
      <c r="J1921" s="13">
        <v>2</v>
      </c>
      <c r="K1921" s="14" t="str">
        <f t="shared" si="360"/>
        <v>Twitter for Android</v>
      </c>
      <c r="L1921" s="13">
        <v>69</v>
      </c>
      <c r="M1921" s="13">
        <v>301</v>
      </c>
      <c r="N1921" s="13">
        <v>1</v>
      </c>
      <c r="O1921" s="15"/>
      <c r="P1921" s="6">
        <v>43290.221655092595</v>
      </c>
      <c r="Q1921" s="12"/>
      <c r="R1921" s="18"/>
      <c r="S1921" s="12"/>
      <c r="T1921" s="12"/>
      <c r="U1921" s="19" t="s">
        <v>368</v>
      </c>
    </row>
    <row r="1922" spans="1:21" ht="40.799999999999997">
      <c r="A1922" s="6">
        <v>43422.625173611115</v>
      </c>
      <c r="B1922" s="7" t="str">
        <f>HYPERLINK("https://twitter.com/AngelMendezMar3","@AngelMendezMar3")</f>
        <v>@AngelMendezMar3</v>
      </c>
      <c r="C1922" s="8" t="s">
        <v>3917</v>
      </c>
      <c r="D1922" s="9" t="s">
        <v>6660</v>
      </c>
      <c r="E1922" s="10" t="str">
        <f>HYPERLINK("https://twitter.com/AngelMendezMar3/status/1064292228628123648","1064292228628123648")</f>
        <v>1064292228628123648</v>
      </c>
      <c r="F1922" s="12"/>
      <c r="G1922" s="12"/>
      <c r="H1922" s="12"/>
      <c r="I1922" s="13">
        <v>1</v>
      </c>
      <c r="J1922" s="13">
        <v>3</v>
      </c>
      <c r="K1922" s="14" t="str">
        <f t="shared" si="360"/>
        <v>Twitter for Android</v>
      </c>
      <c r="L1922" s="13">
        <v>329</v>
      </c>
      <c r="M1922" s="13">
        <v>757</v>
      </c>
      <c r="N1922" s="13">
        <v>1</v>
      </c>
      <c r="O1922" s="15"/>
      <c r="P1922" s="6">
        <v>42884.561469907407</v>
      </c>
      <c r="Q1922" s="12"/>
      <c r="R1922" s="16" t="s">
        <v>3919</v>
      </c>
      <c r="S1922" s="12"/>
      <c r="T1922" s="12"/>
      <c r="U1922" s="10" t="str">
        <f>HYPERLINK("https://pbs.twimg.com/profile_images/973522315161034752/LEPYULHN.jpg","View")</f>
        <v>View</v>
      </c>
    </row>
    <row r="1923" spans="1:21" ht="30.6">
      <c r="A1923" s="6">
        <v>43422.623715277776</v>
      </c>
      <c r="B1923" s="7" t="str">
        <f>HYPERLINK("https://twitter.com/DRYague","@DRYague")</f>
        <v>@DRYague</v>
      </c>
      <c r="C1923" s="8" t="s">
        <v>2497</v>
      </c>
      <c r="D1923" s="9" t="s">
        <v>6661</v>
      </c>
      <c r="E1923" s="10" t="str">
        <f>HYPERLINK("https://twitter.com/DRYague/status/1064291699663532032","1064291699663532032")</f>
        <v>1064291699663532032</v>
      </c>
      <c r="F1923" s="12"/>
      <c r="G1923" s="12"/>
      <c r="H1923" s="12"/>
      <c r="I1923" s="13">
        <v>0</v>
      </c>
      <c r="J1923" s="13">
        <v>0</v>
      </c>
      <c r="K1923" s="14" t="str">
        <f>HYPERLINK("http://twitter.com","Twitter Web Client")</f>
        <v>Twitter Web Client</v>
      </c>
      <c r="L1923" s="13">
        <v>897</v>
      </c>
      <c r="M1923" s="13">
        <v>1138</v>
      </c>
      <c r="N1923" s="13">
        <v>18</v>
      </c>
      <c r="O1923" s="15"/>
      <c r="P1923" s="6">
        <v>40683.97047453704</v>
      </c>
      <c r="Q1923" s="17" t="s">
        <v>6662</v>
      </c>
      <c r="R1923" s="16" t="s">
        <v>6663</v>
      </c>
      <c r="S1923" s="11" t="s">
        <v>6664</v>
      </c>
      <c r="T1923" s="12"/>
      <c r="U1923" s="10" t="str">
        <f>HYPERLINK("https://pbs.twimg.com/profile_images/523694062834950145/p4It299N.jpeg","View")</f>
        <v>View</v>
      </c>
    </row>
    <row r="1924" spans="1:21" ht="13.2">
      <c r="A1924" s="6">
        <v>43422.620567129634</v>
      </c>
      <c r="B1924" s="7" t="str">
        <f>HYPERLINK("https://twitter.com/kagomelo","@kagomelo")</f>
        <v>@kagomelo</v>
      </c>
      <c r="C1924" s="8" t="s">
        <v>6665</v>
      </c>
      <c r="D1924" s="9" t="s">
        <v>6666</v>
      </c>
      <c r="E1924" s="10" t="str">
        <f>HYPERLINK("https://twitter.com/kagomelo/status/1064290557239939072","1064290557239939072")</f>
        <v>1064290557239939072</v>
      </c>
      <c r="F1924" s="11" t="s">
        <v>4948</v>
      </c>
      <c r="G1924" s="12"/>
      <c r="H1924" s="12"/>
      <c r="I1924" s="13">
        <v>0</v>
      </c>
      <c r="J1924" s="13">
        <v>0</v>
      </c>
      <c r="K1924" s="14" t="str">
        <f>HYPERLINK("http://www.facebook.com/twitter","Facebook")</f>
        <v>Facebook</v>
      </c>
      <c r="L1924" s="13">
        <v>44</v>
      </c>
      <c r="M1924" s="13">
        <v>80</v>
      </c>
      <c r="N1924" s="13">
        <v>6</v>
      </c>
      <c r="O1924" s="15"/>
      <c r="P1924" s="6">
        <v>40126.338333333333</v>
      </c>
      <c r="Q1924" s="17" t="s">
        <v>2270</v>
      </c>
      <c r="R1924" s="16" t="s">
        <v>6667</v>
      </c>
      <c r="S1924" s="12"/>
      <c r="T1924" s="12"/>
      <c r="U1924" s="10" t="str">
        <f>HYPERLINK("https://pbs.twimg.com/profile_images/992717065147568128/zg7SzB9I.jpg","View")</f>
        <v>View</v>
      </c>
    </row>
    <row r="1925" spans="1:21" ht="51">
      <c r="A1925" s="6">
        <v>43422.619490740741</v>
      </c>
      <c r="B1925" s="7" t="str">
        <f>HYPERLINK("https://twitter.com/canasporespana","@canasporespana")</f>
        <v>@canasporespana</v>
      </c>
      <c r="C1925" s="8" t="s">
        <v>6668</v>
      </c>
      <c r="D1925" s="9" t="s">
        <v>6669</v>
      </c>
      <c r="E1925" s="10" t="str">
        <f>HYPERLINK("https://twitter.com/canasporespana/status/1064290169094848514","1064290169094848514")</f>
        <v>1064290169094848514</v>
      </c>
      <c r="F1925" s="12"/>
      <c r="G1925" s="11" t="s">
        <v>6670</v>
      </c>
      <c r="H1925" s="12"/>
      <c r="I1925" s="13">
        <v>92</v>
      </c>
      <c r="J1925" s="13">
        <v>131</v>
      </c>
      <c r="K1925" s="14" t="str">
        <f>HYPERLINK("http://twitter.com/download/android","Twitter for Android")</f>
        <v>Twitter for Android</v>
      </c>
      <c r="L1925" s="13">
        <v>6218</v>
      </c>
      <c r="M1925" s="13">
        <v>266</v>
      </c>
      <c r="N1925" s="13">
        <v>40</v>
      </c>
      <c r="O1925" s="15"/>
      <c r="P1925" s="6">
        <v>42712.049108796295</v>
      </c>
      <c r="Q1925" s="17" t="s">
        <v>29</v>
      </c>
      <c r="R1925" s="16" t="s">
        <v>6671</v>
      </c>
      <c r="S1925" s="11" t="s">
        <v>6672</v>
      </c>
      <c r="T1925" s="12"/>
      <c r="U1925" s="10" t="str">
        <f>HYPERLINK("https://pbs.twimg.com/profile_images/1035610115146170368/_VF2Ge_a.jpg","View")</f>
        <v>View</v>
      </c>
    </row>
    <row r="1926" spans="1:21" ht="30.6">
      <c r="A1926" s="6">
        <v>43422.619305555556</v>
      </c>
      <c r="B1926" s="7" t="str">
        <f>HYPERLINK("https://twitter.com/pablo_casado","@pablo_casado")</f>
        <v>@pablo_casado</v>
      </c>
      <c r="C1926" s="8" t="s">
        <v>353</v>
      </c>
      <c r="D1926" s="9" t="s">
        <v>6673</v>
      </c>
      <c r="E1926" s="10" t="str">
        <f>HYPERLINK("https://twitter.com/pablo_casado/status/1064290100706770945","1064290100706770945")</f>
        <v>1064290100706770945</v>
      </c>
      <c r="F1926" s="12"/>
      <c r="G1926" s="12"/>
      <c r="H1926" s="12"/>
      <c r="I1926" s="13">
        <v>1</v>
      </c>
      <c r="J1926" s="13">
        <v>1</v>
      </c>
      <c r="K1926" s="14" t="str">
        <f>HYPERLINK("http://twitter.com","Twitter Web Client")</f>
        <v>Twitter Web Client</v>
      </c>
      <c r="L1926" s="13">
        <v>798</v>
      </c>
      <c r="M1926" s="13">
        <v>1165</v>
      </c>
      <c r="N1926" s="13">
        <v>16</v>
      </c>
      <c r="O1926" s="15"/>
      <c r="P1926" s="6">
        <v>40631.269189814819</v>
      </c>
      <c r="Q1926" s="17" t="s">
        <v>356</v>
      </c>
      <c r="R1926" s="16" t="s">
        <v>357</v>
      </c>
      <c r="S1926" s="11" t="s">
        <v>358</v>
      </c>
      <c r="T1926" s="12"/>
      <c r="U1926" s="10" t="str">
        <f>HYPERLINK("https://pbs.twimg.com/profile_images/960372546393837569/o7y23nco.jpg","View")</f>
        <v>View</v>
      </c>
    </row>
    <row r="1927" spans="1:21" ht="20.399999999999999">
      <c r="A1927" s="6">
        <v>43422.618275462963</v>
      </c>
      <c r="B1927" s="7" t="str">
        <f>HYPERLINK("https://twitter.com/JosLenBao","@JosLenBao")</f>
        <v>@JosLenBao</v>
      </c>
      <c r="C1927" s="8" t="s">
        <v>6674</v>
      </c>
      <c r="D1927" s="9" t="s">
        <v>6675</v>
      </c>
      <c r="E1927" s="10" t="str">
        <f>HYPERLINK("https://twitter.com/JosLenBao/status/1064289727065526272","1064289727065526272")</f>
        <v>1064289727065526272</v>
      </c>
      <c r="F1927" s="11" t="s">
        <v>5091</v>
      </c>
      <c r="G1927" s="12"/>
      <c r="H1927" s="12"/>
      <c r="I1927" s="13">
        <v>1</v>
      </c>
      <c r="J1927" s="13">
        <v>0</v>
      </c>
      <c r="K1927" s="14" t="str">
        <f>HYPERLINK("http://twitter.com/download/iphone","Twitter for iPhone")</f>
        <v>Twitter for iPhone</v>
      </c>
      <c r="L1927" s="13">
        <v>64</v>
      </c>
      <c r="M1927" s="13">
        <v>298</v>
      </c>
      <c r="N1927" s="13">
        <v>7</v>
      </c>
      <c r="O1927" s="15"/>
      <c r="P1927" s="6">
        <v>41418.504861111112</v>
      </c>
      <c r="Q1927" s="17" t="s">
        <v>29</v>
      </c>
      <c r="R1927" s="16" t="s">
        <v>6676</v>
      </c>
      <c r="S1927" s="12"/>
      <c r="T1927" s="12"/>
      <c r="U1927" s="19" t="s">
        <v>368</v>
      </c>
    </row>
    <row r="1928" spans="1:21" ht="20.399999999999999">
      <c r="A1928" s="6">
        <v>43422.617407407408</v>
      </c>
      <c r="B1928" s="7" t="str">
        <f>HYPERLINK("https://twitter.com/lola_espanola","@lola_espanola")</f>
        <v>@lola_espanola</v>
      </c>
      <c r="C1928" s="8" t="s">
        <v>6677</v>
      </c>
      <c r="D1928" s="9" t="s">
        <v>4850</v>
      </c>
      <c r="E1928" s="10" t="str">
        <f>HYPERLINK("https://twitter.com/lola_espanola/status/1064289413059014656","1064289413059014656")</f>
        <v>1064289413059014656</v>
      </c>
      <c r="F1928" s="11" t="s">
        <v>4851</v>
      </c>
      <c r="G1928" s="12"/>
      <c r="H1928" s="12"/>
      <c r="I1928" s="13">
        <v>0</v>
      </c>
      <c r="J1928" s="13">
        <v>0</v>
      </c>
      <c r="K1928" s="14" t="str">
        <f>HYPERLINK("http://twitter.com","Twitter Web Client")</f>
        <v>Twitter Web Client</v>
      </c>
      <c r="L1928" s="13">
        <v>2453</v>
      </c>
      <c r="M1928" s="13">
        <v>13</v>
      </c>
      <c r="N1928" s="13">
        <v>15</v>
      </c>
      <c r="O1928" s="15"/>
      <c r="P1928" s="6">
        <v>41272.278668981482</v>
      </c>
      <c r="Q1928" s="17" t="s">
        <v>1276</v>
      </c>
      <c r="R1928" s="16" t="s">
        <v>6678</v>
      </c>
      <c r="S1928" s="12"/>
      <c r="T1928" s="12"/>
      <c r="U1928" s="10" t="str">
        <f>HYPERLINK("https://pbs.twimg.com/profile_images/1063077850885120000/iomFXWLv.jpg","View")</f>
        <v>View</v>
      </c>
    </row>
    <row r="1929" spans="1:21" ht="20.399999999999999">
      <c r="A1929" s="6">
        <v>43422.614930555559</v>
      </c>
      <c r="B1929" s="7" t="str">
        <f>HYPERLINK("https://twitter.com/lrodriguezhorca","@lrodriguezhorca")</f>
        <v>@lrodriguezhorca</v>
      </c>
      <c r="C1929" s="8" t="s">
        <v>6679</v>
      </c>
      <c r="D1929" s="9" t="s">
        <v>6680</v>
      </c>
      <c r="E1929" s="10" t="str">
        <f>HYPERLINK("https://twitter.com/lrodriguezhorca/status/1064288516987936769","1064288516987936769")</f>
        <v>1064288516987936769</v>
      </c>
      <c r="F1929" s="12"/>
      <c r="G1929" s="12"/>
      <c r="H1929" s="12"/>
      <c r="I1929" s="13">
        <v>0</v>
      </c>
      <c r="J1929" s="13">
        <v>0</v>
      </c>
      <c r="K1929" s="14" t="str">
        <f>HYPERLINK("http://twitter.com/download/iphone","Twitter for iPhone")</f>
        <v>Twitter for iPhone</v>
      </c>
      <c r="L1929" s="13">
        <v>108</v>
      </c>
      <c r="M1929" s="13">
        <v>162</v>
      </c>
      <c r="N1929" s="13">
        <v>1</v>
      </c>
      <c r="O1929" s="15"/>
      <c r="P1929" s="6">
        <v>40861.076412037037</v>
      </c>
      <c r="Q1929" s="17" t="s">
        <v>76</v>
      </c>
      <c r="R1929" s="16" t="s">
        <v>6681</v>
      </c>
      <c r="S1929" s="12"/>
      <c r="T1929" s="12"/>
      <c r="U1929" s="10" t="str">
        <f>HYPERLINK("https://pbs.twimg.com/profile_images/802128407278522368/gzHIWBEk.jpg","View")</f>
        <v>View</v>
      </c>
    </row>
    <row r="1930" spans="1:21" ht="51">
      <c r="A1930" s="6">
        <v>43422.614571759259</v>
      </c>
      <c r="B1930" s="7" t="str">
        <f>HYPERLINK("https://twitter.com/jm_clavero","@jm_clavero")</f>
        <v>@jm_clavero</v>
      </c>
      <c r="C1930" s="8" t="s">
        <v>4723</v>
      </c>
      <c r="D1930" s="9" t="s">
        <v>6682</v>
      </c>
      <c r="E1930" s="10" t="str">
        <f>HYPERLINK("https://twitter.com/jm_clavero/status/1064288385345429504","1064288385345429504")</f>
        <v>1064288385345429504</v>
      </c>
      <c r="F1930" s="12"/>
      <c r="G1930" s="12"/>
      <c r="H1930" s="12"/>
      <c r="I1930" s="13">
        <v>18</v>
      </c>
      <c r="J1930" s="13">
        <v>40</v>
      </c>
      <c r="K1930" s="14" t="str">
        <f t="shared" ref="K1930:K1931" si="361">HYPERLINK("http://twitter.com","Twitter Web Client")</f>
        <v>Twitter Web Client</v>
      </c>
      <c r="L1930" s="13">
        <v>31945</v>
      </c>
      <c r="M1930" s="13">
        <v>1161</v>
      </c>
      <c r="N1930" s="13">
        <v>140</v>
      </c>
      <c r="O1930" s="15"/>
      <c r="P1930" s="6">
        <v>42430.159143518518</v>
      </c>
      <c r="Q1930" s="12"/>
      <c r="R1930" s="16" t="s">
        <v>4726</v>
      </c>
      <c r="S1930" s="12"/>
      <c r="T1930" s="12"/>
      <c r="U1930" s="10" t="str">
        <f>HYPERLINK("https://pbs.twimg.com/profile_images/874958097076424705/Z56uQ_Ie.jpg","View")</f>
        <v>View</v>
      </c>
    </row>
    <row r="1931" spans="1:21" ht="51">
      <c r="A1931" s="6">
        <v>43422.609861111108</v>
      </c>
      <c r="B1931" s="7" t="str">
        <f>HYPERLINK("https://twitter.com/al_merino","@al_merino")</f>
        <v>@al_merino</v>
      </c>
      <c r="C1931" s="8" t="s">
        <v>6683</v>
      </c>
      <c r="D1931" s="9" t="s">
        <v>6684</v>
      </c>
      <c r="E1931" s="10" t="str">
        <f>HYPERLINK("https://twitter.com/al_merino/status/1064286677898854402","1064286677898854402")</f>
        <v>1064286677898854402</v>
      </c>
      <c r="F1931" s="12"/>
      <c r="G1931" s="12"/>
      <c r="H1931" s="12"/>
      <c r="I1931" s="13">
        <v>5</v>
      </c>
      <c r="J1931" s="13">
        <v>41</v>
      </c>
      <c r="K1931" s="14" t="str">
        <f t="shared" si="361"/>
        <v>Twitter Web Client</v>
      </c>
      <c r="L1931" s="13">
        <v>342</v>
      </c>
      <c r="M1931" s="13">
        <v>504</v>
      </c>
      <c r="N1931" s="13">
        <v>8</v>
      </c>
      <c r="O1931" s="15"/>
      <c r="P1931" s="6">
        <v>41607.349444444444</v>
      </c>
      <c r="Q1931" s="12"/>
      <c r="R1931" s="16" t="s">
        <v>6685</v>
      </c>
      <c r="S1931" s="12"/>
      <c r="T1931" s="12"/>
      <c r="U1931" s="10" t="str">
        <f>HYPERLINK("https://pbs.twimg.com/profile_images/1063784516760813570/LP1UDaux.jpg","View")</f>
        <v>View</v>
      </c>
    </row>
    <row r="1932" spans="1:21" ht="13.2">
      <c r="A1932" s="6">
        <v>43422.609340277777</v>
      </c>
      <c r="B1932" s="7" t="str">
        <f>HYPERLINK("https://twitter.com/jordimunozm","@jordimunozm")</f>
        <v>@jordimunozm</v>
      </c>
      <c r="C1932" s="8" t="s">
        <v>6686</v>
      </c>
      <c r="D1932" s="9" t="s">
        <v>6687</v>
      </c>
      <c r="E1932" s="10" t="str">
        <f>HYPERLINK("https://twitter.com/jordimunozm/status/1064286491441020929","1064286491441020929")</f>
        <v>1064286491441020929</v>
      </c>
      <c r="F1932" s="11" t="s">
        <v>4948</v>
      </c>
      <c r="G1932" s="12"/>
      <c r="H1932" s="12"/>
      <c r="I1932" s="13">
        <v>354</v>
      </c>
      <c r="J1932" s="13">
        <v>758</v>
      </c>
      <c r="K1932" s="14" t="str">
        <f>HYPERLINK("http://twitter.com/download/iphone","Twitter for iPhone")</f>
        <v>Twitter for iPhone</v>
      </c>
      <c r="L1932" s="13">
        <v>17419</v>
      </c>
      <c r="M1932" s="13">
        <v>3823</v>
      </c>
      <c r="N1932" s="13">
        <v>273</v>
      </c>
      <c r="O1932" s="15"/>
      <c r="P1932" s="6">
        <v>40605.603703703702</v>
      </c>
      <c r="Q1932" s="12"/>
      <c r="R1932" s="16" t="s">
        <v>6688</v>
      </c>
      <c r="S1932" s="11" t="s">
        <v>6689</v>
      </c>
      <c r="T1932" s="12"/>
      <c r="U1932" s="10" t="str">
        <f>HYPERLINK("https://pbs.twimg.com/profile_images/927118476984180736/mgmh8xIp.jpg","View")</f>
        <v>View</v>
      </c>
    </row>
    <row r="1933" spans="1:21" ht="20.399999999999999">
      <c r="A1933" s="6">
        <v>43422.608414351853</v>
      </c>
      <c r="B1933" s="7" t="str">
        <f>HYPERLINK("https://twitter.com/rabunzeI","@rabunzeI")</f>
        <v>@rabunzeI</v>
      </c>
      <c r="C1933" s="8" t="s">
        <v>6690</v>
      </c>
      <c r="D1933" s="9" t="s">
        <v>6691</v>
      </c>
      <c r="E1933" s="10" t="str">
        <f>HYPERLINK("https://twitter.com/rabunzeI/status/1064286156421021700","1064286156421021700")</f>
        <v>1064286156421021700</v>
      </c>
      <c r="F1933" s="12"/>
      <c r="G1933" s="11" t="s">
        <v>6692</v>
      </c>
      <c r="H1933" s="12"/>
      <c r="I1933" s="13">
        <v>0</v>
      </c>
      <c r="J1933" s="13">
        <v>3</v>
      </c>
      <c r="K1933" s="14" t="str">
        <f>HYPERLINK("http://twitter.com/download/android","Twitter for Android")</f>
        <v>Twitter for Android</v>
      </c>
      <c r="L1933" s="13">
        <v>494</v>
      </c>
      <c r="M1933" s="13">
        <v>284</v>
      </c>
      <c r="N1933" s="13">
        <v>13</v>
      </c>
      <c r="O1933" s="15"/>
      <c r="P1933" s="6">
        <v>40675.271817129629</v>
      </c>
      <c r="Q1933" s="17" t="s">
        <v>6693</v>
      </c>
      <c r="R1933" s="16" t="s">
        <v>6694</v>
      </c>
      <c r="S1933" s="11" t="s">
        <v>6695</v>
      </c>
      <c r="T1933" s="12"/>
      <c r="U1933" s="10" t="str">
        <f>HYPERLINK("https://pbs.twimg.com/profile_images/861336907485253633/Ep2eC7IH.jpg","View")</f>
        <v>View</v>
      </c>
    </row>
    <row r="1934" spans="1:21" ht="30.6">
      <c r="A1934" s="6">
        <v>43422.606759259259</v>
      </c>
      <c r="B1934" s="7" t="str">
        <f>HYPERLINK("https://twitter.com/Ramonesmiranda","@Ramonesmiranda")</f>
        <v>@Ramonesmiranda</v>
      </c>
      <c r="C1934" s="8" t="s">
        <v>4749</v>
      </c>
      <c r="D1934" s="9" t="s">
        <v>1749</v>
      </c>
      <c r="E1934" s="10" t="str">
        <f>HYPERLINK("https://twitter.com/Ramonesmiranda/status/1064285553666023426","1064285553666023426")</f>
        <v>1064285553666023426</v>
      </c>
      <c r="F1934" s="11" t="s">
        <v>2767</v>
      </c>
      <c r="G1934" s="12"/>
      <c r="H1934" s="12"/>
      <c r="I1934" s="13">
        <v>0</v>
      </c>
      <c r="J1934" s="13">
        <v>0</v>
      </c>
      <c r="K1934" s="14" t="str">
        <f>HYPERLINK("http://twitter.com/download/iphone","Twitter for iPhone")</f>
        <v>Twitter for iPhone</v>
      </c>
      <c r="L1934" s="13">
        <v>2037</v>
      </c>
      <c r="M1934" s="13">
        <v>2019</v>
      </c>
      <c r="N1934" s="13">
        <v>60</v>
      </c>
      <c r="O1934" s="15"/>
      <c r="P1934" s="6">
        <v>40640.201296296298</v>
      </c>
      <c r="Q1934" s="17" t="s">
        <v>4750</v>
      </c>
      <c r="R1934" s="16" t="s">
        <v>4751</v>
      </c>
      <c r="S1934" s="11" t="s">
        <v>4752</v>
      </c>
      <c r="T1934" s="12"/>
      <c r="U1934" s="10" t="str">
        <f>HYPERLINK("https://pbs.twimg.com/profile_images/919526919179329536/y02LMBEI.jpg","View")</f>
        <v>View</v>
      </c>
    </row>
    <row r="1935" spans="1:21" ht="30.6">
      <c r="A1935" s="6">
        <v>43422.605590277773</v>
      </c>
      <c r="B1935" s="7" t="str">
        <f>HYPERLINK("https://twitter.com/pablo_casado","@pablo_casado")</f>
        <v>@pablo_casado</v>
      </c>
      <c r="C1935" s="8" t="s">
        <v>353</v>
      </c>
      <c r="D1935" s="9" t="s">
        <v>6696</v>
      </c>
      <c r="E1935" s="10" t="str">
        <f>HYPERLINK("https://twitter.com/pablo_casado/status/1064285132499099656","1064285132499099656")</f>
        <v>1064285132499099656</v>
      </c>
      <c r="F1935" s="11" t="s">
        <v>6697</v>
      </c>
      <c r="G1935" s="12"/>
      <c r="H1935" s="12"/>
      <c r="I1935" s="13">
        <v>0</v>
      </c>
      <c r="J1935" s="13">
        <v>2</v>
      </c>
      <c r="K1935" s="14" t="str">
        <f t="shared" ref="K1935:K1937" si="362">HYPERLINK("http://twitter.com","Twitter Web Client")</f>
        <v>Twitter Web Client</v>
      </c>
      <c r="L1935" s="13">
        <v>798</v>
      </c>
      <c r="M1935" s="13">
        <v>1165</v>
      </c>
      <c r="N1935" s="13">
        <v>16</v>
      </c>
      <c r="O1935" s="15"/>
      <c r="P1935" s="6">
        <v>40631.269189814819</v>
      </c>
      <c r="Q1935" s="17" t="s">
        <v>356</v>
      </c>
      <c r="R1935" s="16" t="s">
        <v>357</v>
      </c>
      <c r="S1935" s="11" t="s">
        <v>358</v>
      </c>
      <c r="T1935" s="12"/>
      <c r="U1935" s="10" t="str">
        <f>HYPERLINK("https://pbs.twimg.com/profile_images/960372546393837569/o7y23nco.jpg","View")</f>
        <v>View</v>
      </c>
    </row>
    <row r="1936" spans="1:21" ht="40.799999999999997">
      <c r="A1936" s="6">
        <v>43422.602465277778</v>
      </c>
      <c r="B1936" s="7" t="str">
        <f>HYPERLINK("https://twitter.com/jm_clavero","@jm_clavero")</f>
        <v>@jm_clavero</v>
      </c>
      <c r="C1936" s="8" t="s">
        <v>4723</v>
      </c>
      <c r="D1936" s="9" t="s">
        <v>6698</v>
      </c>
      <c r="E1936" s="10" t="str">
        <f>HYPERLINK("https://twitter.com/jm_clavero/status/1064283997868605440","1064283997868605440")</f>
        <v>1064283997868605440</v>
      </c>
      <c r="F1936" s="12"/>
      <c r="G1936" s="12"/>
      <c r="H1936" s="12"/>
      <c r="I1936" s="13">
        <v>38</v>
      </c>
      <c r="J1936" s="13">
        <v>66</v>
      </c>
      <c r="K1936" s="14" t="str">
        <f t="shared" si="362"/>
        <v>Twitter Web Client</v>
      </c>
      <c r="L1936" s="13">
        <v>31945</v>
      </c>
      <c r="M1936" s="13">
        <v>1161</v>
      </c>
      <c r="N1936" s="13">
        <v>140</v>
      </c>
      <c r="O1936" s="15"/>
      <c r="P1936" s="6">
        <v>42430.159143518518</v>
      </c>
      <c r="Q1936" s="12"/>
      <c r="R1936" s="16" t="s">
        <v>4726</v>
      </c>
      <c r="S1936" s="12"/>
      <c r="T1936" s="12"/>
      <c r="U1936" s="10" t="str">
        <f>HYPERLINK("https://pbs.twimg.com/profile_images/874958097076424705/Z56uQ_Ie.jpg","View")</f>
        <v>View</v>
      </c>
    </row>
    <row r="1937" spans="1:21" ht="51">
      <c r="A1937" s="6">
        <v>43422.60055555556</v>
      </c>
      <c r="B1937" s="7" t="str">
        <f>HYPERLINK("https://twitter.com/CTokaous","@CTokaous")</f>
        <v>@CTokaous</v>
      </c>
      <c r="C1937" s="8" t="s">
        <v>6699</v>
      </c>
      <c r="D1937" s="9" t="s">
        <v>6700</v>
      </c>
      <c r="E1937" s="10" t="str">
        <f>HYPERLINK("https://twitter.com/CTokaous/status/1064283307666485248","1064283307666485248")</f>
        <v>1064283307666485248</v>
      </c>
      <c r="F1937" s="11" t="s">
        <v>6701</v>
      </c>
      <c r="G1937" s="12"/>
      <c r="H1937" s="12"/>
      <c r="I1937" s="13">
        <v>0</v>
      </c>
      <c r="J1937" s="13">
        <v>0</v>
      </c>
      <c r="K1937" s="14" t="str">
        <f t="shared" si="362"/>
        <v>Twitter Web Client</v>
      </c>
      <c r="L1937" s="13">
        <v>287</v>
      </c>
      <c r="M1937" s="13">
        <v>639</v>
      </c>
      <c r="N1937" s="13">
        <v>0</v>
      </c>
      <c r="O1937" s="15"/>
      <c r="P1937" s="6">
        <v>43336.474537037036</v>
      </c>
      <c r="Q1937" s="12"/>
      <c r="R1937" s="18"/>
      <c r="S1937" s="12"/>
      <c r="T1937" s="12"/>
      <c r="U1937" s="10" t="str">
        <f>HYPERLINK("https://pbs.twimg.com/profile_images/1033074141291851777/b2s7Y_XP.jpg","View")</f>
        <v>View</v>
      </c>
    </row>
    <row r="1938" spans="1:21" ht="13.2">
      <c r="A1938" s="6">
        <v>43422.600358796291</v>
      </c>
      <c r="B1938" s="7" t="str">
        <f>HYPERLINK("https://twitter.com/hectorjuanatey","@hectorjuanatey")</f>
        <v>@hectorjuanatey</v>
      </c>
      <c r="C1938" s="8" t="s">
        <v>6702</v>
      </c>
      <c r="D1938" s="9" t="s">
        <v>6703</v>
      </c>
      <c r="E1938" s="10" t="str">
        <f>HYPERLINK("https://twitter.com/hectorjuanatey/status/1064283236250071041","1064283236250071041")</f>
        <v>1064283236250071041</v>
      </c>
      <c r="F1938" s="11" t="s">
        <v>6704</v>
      </c>
      <c r="G1938" s="12"/>
      <c r="H1938" s="12"/>
      <c r="I1938" s="13">
        <v>0</v>
      </c>
      <c r="J1938" s="13">
        <v>3</v>
      </c>
      <c r="K1938" s="14" t="str">
        <f t="shared" ref="K1938:K1939" si="363">HYPERLINK("http://twitter.com/download/android","Twitter for Android")</f>
        <v>Twitter for Android</v>
      </c>
      <c r="L1938" s="13">
        <v>21581</v>
      </c>
      <c r="M1938" s="13">
        <v>1271</v>
      </c>
      <c r="N1938" s="13">
        <v>621</v>
      </c>
      <c r="O1938" s="19" t="s">
        <v>74</v>
      </c>
      <c r="P1938" s="6">
        <v>39959.533287037033</v>
      </c>
      <c r="Q1938" s="17" t="s">
        <v>26</v>
      </c>
      <c r="R1938" s="16" t="s">
        <v>6705</v>
      </c>
      <c r="S1938" s="12"/>
      <c r="T1938" s="12"/>
      <c r="U1938" s="10" t="str">
        <f>HYPERLINK("https://pbs.twimg.com/profile_images/992872742407081985/Y50kGKAR.jpg","View")</f>
        <v>View</v>
      </c>
    </row>
    <row r="1939" spans="1:21" ht="40.799999999999997">
      <c r="A1939" s="6">
        <v>43422.599155092597</v>
      </c>
      <c r="B1939" s="7" t="str">
        <f>HYPERLINK("https://twitter.com/LouMonth","@LouMonth")</f>
        <v>@LouMonth</v>
      </c>
      <c r="C1939" s="8" t="s">
        <v>6706</v>
      </c>
      <c r="D1939" s="9" t="s">
        <v>5086</v>
      </c>
      <c r="E1939" s="10" t="str">
        <f>HYPERLINK("https://twitter.com/LouMonth/status/1064282799522353152","1064282799522353152")</f>
        <v>1064282799522353152</v>
      </c>
      <c r="F1939" s="11" t="s">
        <v>5831</v>
      </c>
      <c r="G1939" s="12"/>
      <c r="H1939" s="12"/>
      <c r="I1939" s="13">
        <v>0</v>
      </c>
      <c r="J1939" s="13">
        <v>0</v>
      </c>
      <c r="K1939" s="14" t="str">
        <f t="shared" si="363"/>
        <v>Twitter for Android</v>
      </c>
      <c r="L1939" s="13">
        <v>613</v>
      </c>
      <c r="M1939" s="13">
        <v>942</v>
      </c>
      <c r="N1939" s="13">
        <v>11</v>
      </c>
      <c r="O1939" s="15"/>
      <c r="P1939" s="6">
        <v>42043.278182870374</v>
      </c>
      <c r="Q1939" s="12"/>
      <c r="R1939" s="16" t="s">
        <v>6707</v>
      </c>
      <c r="S1939" s="12"/>
      <c r="T1939" s="12"/>
      <c r="U1939" s="10" t="str">
        <f>HYPERLINK("https://pbs.twimg.com/profile_images/973528780307419137/_gxnNgaW.jpg","View")</f>
        <v>View</v>
      </c>
    </row>
    <row r="1940" spans="1:21" ht="20.399999999999999">
      <c r="A1940" s="6">
        <v>43422.597800925927</v>
      </c>
      <c r="B1940" s="7" t="str">
        <f>HYPERLINK("https://twitter.com/jm_clavero","@jm_clavero")</f>
        <v>@jm_clavero</v>
      </c>
      <c r="C1940" s="8" t="s">
        <v>4723</v>
      </c>
      <c r="D1940" s="9" t="s">
        <v>6708</v>
      </c>
      <c r="E1940" s="10" t="str">
        <f>HYPERLINK("https://twitter.com/jm_clavero/status/1064282310495936513","1064282310495936513")</f>
        <v>1064282310495936513</v>
      </c>
      <c r="F1940" s="11" t="s">
        <v>6709</v>
      </c>
      <c r="G1940" s="12"/>
      <c r="H1940" s="12"/>
      <c r="I1940" s="13">
        <v>8</v>
      </c>
      <c r="J1940" s="13">
        <v>9</v>
      </c>
      <c r="K1940" s="14" t="str">
        <f t="shared" ref="K1940:K1942" si="364">HYPERLINK("http://twitter.com","Twitter Web Client")</f>
        <v>Twitter Web Client</v>
      </c>
      <c r="L1940" s="13">
        <v>31945</v>
      </c>
      <c r="M1940" s="13">
        <v>1161</v>
      </c>
      <c r="N1940" s="13">
        <v>140</v>
      </c>
      <c r="O1940" s="15"/>
      <c r="P1940" s="6">
        <v>42430.159143518518</v>
      </c>
      <c r="Q1940" s="12"/>
      <c r="R1940" s="16" t="s">
        <v>4726</v>
      </c>
      <c r="S1940" s="12"/>
      <c r="T1940" s="12"/>
      <c r="U1940" s="10" t="str">
        <f>HYPERLINK("https://pbs.twimg.com/profile_images/874958097076424705/Z56uQ_Ie.jpg","View")</f>
        <v>View</v>
      </c>
    </row>
    <row r="1941" spans="1:21" ht="20.399999999999999">
      <c r="A1941" s="6">
        <v>43422.59747685185</v>
      </c>
      <c r="B1941" s="7" t="str">
        <f>HYPERLINK("https://twitter.com/HailNya","@HailNya")</f>
        <v>@HailNya</v>
      </c>
      <c r="C1941" s="8" t="s">
        <v>6710</v>
      </c>
      <c r="D1941" s="9" t="s">
        <v>6711</v>
      </c>
      <c r="E1941" s="10" t="str">
        <f>HYPERLINK("https://twitter.com/HailNya/status/1064282193500020736","1064282193500020736")</f>
        <v>1064282193500020736</v>
      </c>
      <c r="F1941" s="11" t="s">
        <v>5479</v>
      </c>
      <c r="G1941" s="12"/>
      <c r="H1941" s="12"/>
      <c r="I1941" s="13">
        <v>0</v>
      </c>
      <c r="J1941" s="13">
        <v>0</v>
      </c>
      <c r="K1941" s="14" t="str">
        <f t="shared" si="364"/>
        <v>Twitter Web Client</v>
      </c>
      <c r="L1941" s="13">
        <v>50</v>
      </c>
      <c r="M1941" s="13">
        <v>98</v>
      </c>
      <c r="N1941" s="13">
        <v>0</v>
      </c>
      <c r="O1941" s="15"/>
      <c r="P1941" s="6">
        <v>43270.312418981484</v>
      </c>
      <c r="Q1941" s="17" t="s">
        <v>6712</v>
      </c>
      <c r="R1941" s="16" t="s">
        <v>6713</v>
      </c>
      <c r="S1941" s="12"/>
      <c r="T1941" s="12"/>
      <c r="U1941" s="10" t="str">
        <f>HYPERLINK("https://pbs.twimg.com/profile_images/1061659300848906240/GPGPKe-D.jpg","View")</f>
        <v>View</v>
      </c>
    </row>
    <row r="1942" spans="1:21" ht="51">
      <c r="A1942" s="6">
        <v>43422.595706018517</v>
      </c>
      <c r="B1942" s="7" t="str">
        <f>HYPERLINK("https://twitter.com/Viczuri","@Viczuri")</f>
        <v>@Viczuri</v>
      </c>
      <c r="C1942" s="8" t="s">
        <v>4859</v>
      </c>
      <c r="D1942" s="9" t="s">
        <v>6714</v>
      </c>
      <c r="E1942" s="10" t="str">
        <f>HYPERLINK("https://twitter.com/Viczuri/status/1064281547665260544","1064281547665260544")</f>
        <v>1064281547665260544</v>
      </c>
      <c r="F1942" s="12"/>
      <c r="G1942" s="11" t="s">
        <v>6715</v>
      </c>
      <c r="H1942" s="12"/>
      <c r="I1942" s="13">
        <v>18</v>
      </c>
      <c r="J1942" s="13">
        <v>19</v>
      </c>
      <c r="K1942" s="14" t="str">
        <f t="shared" si="364"/>
        <v>Twitter Web Client</v>
      </c>
      <c r="L1942" s="13">
        <v>4157</v>
      </c>
      <c r="M1942" s="13">
        <v>3880</v>
      </c>
      <c r="N1942" s="13">
        <v>19</v>
      </c>
      <c r="O1942" s="15"/>
      <c r="P1942" s="6">
        <v>40553.193287037036</v>
      </c>
      <c r="Q1942" s="12"/>
      <c r="R1942" s="16" t="s">
        <v>4862</v>
      </c>
      <c r="S1942" s="12"/>
      <c r="T1942" s="12"/>
      <c r="U1942" s="10" t="str">
        <f>HYPERLINK("https://pbs.twimg.com/profile_images/977318990291918849/47D9f3lc.jpg","View")</f>
        <v>View</v>
      </c>
    </row>
    <row r="1943" spans="1:21" ht="30.6">
      <c r="A1943" s="6">
        <v>43422.594861111109</v>
      </c>
      <c r="B1943" s="7" t="str">
        <f>HYPERLINK("https://twitter.com/pallaron12","@pallaron12")</f>
        <v>@pallaron12</v>
      </c>
      <c r="C1943" s="8" t="s">
        <v>4849</v>
      </c>
      <c r="D1943" s="9" t="s">
        <v>6641</v>
      </c>
      <c r="E1943" s="10" t="str">
        <f>HYPERLINK("https://twitter.com/pallaron12/status/1064281244886884352","1064281244886884352")</f>
        <v>1064281244886884352</v>
      </c>
      <c r="F1943" s="11" t="s">
        <v>5715</v>
      </c>
      <c r="G1943" s="12"/>
      <c r="H1943" s="12"/>
      <c r="I1943" s="13">
        <v>0</v>
      </c>
      <c r="J1943" s="13">
        <v>1</v>
      </c>
      <c r="K1943" s="14" t="str">
        <f>HYPERLINK("http://twitter.com/download/android","Twitter for Android")</f>
        <v>Twitter for Android</v>
      </c>
      <c r="L1943" s="13">
        <v>1412</v>
      </c>
      <c r="M1943" s="13">
        <v>501</v>
      </c>
      <c r="N1943" s="13">
        <v>8</v>
      </c>
      <c r="O1943" s="15"/>
      <c r="P1943" s="6">
        <v>41854.28634259259</v>
      </c>
      <c r="Q1943" s="17" t="s">
        <v>4852</v>
      </c>
      <c r="R1943" s="16" t="s">
        <v>4853</v>
      </c>
      <c r="S1943" s="12"/>
      <c r="T1943" s="12"/>
      <c r="U1943" s="10" t="str">
        <f>HYPERLINK("https://pbs.twimg.com/profile_images/1064713832633896961/NkwZ7D9D.jpg","View")</f>
        <v>View</v>
      </c>
    </row>
    <row r="1944" spans="1:21" ht="51">
      <c r="A1944" s="6">
        <v>43422.594305555554</v>
      </c>
      <c r="B1944" s="7" t="str">
        <f>HYPERLINK("https://twitter.com/K_Wendy_Ozz","@K_Wendy_Ozz")</f>
        <v>@K_Wendy_Ozz</v>
      </c>
      <c r="C1944" s="8" t="s">
        <v>6716</v>
      </c>
      <c r="D1944" s="9" t="s">
        <v>6717</v>
      </c>
      <c r="E1944" s="10" t="str">
        <f>HYPERLINK("https://twitter.com/K_Wendy_Ozz/status/1064281043962863617","1064281043962863617")</f>
        <v>1064281043962863617</v>
      </c>
      <c r="F1944" s="11" t="s">
        <v>6701</v>
      </c>
      <c r="G1944" s="12"/>
      <c r="H1944" s="12"/>
      <c r="I1944" s="13">
        <v>0</v>
      </c>
      <c r="J1944" s="13">
        <v>0</v>
      </c>
      <c r="K1944" s="14" t="str">
        <f t="shared" ref="K1944:K1945" si="365">HYPERLINK("http://twitter.com","Twitter Web Client")</f>
        <v>Twitter Web Client</v>
      </c>
      <c r="L1944" s="13">
        <v>3</v>
      </c>
      <c r="M1944" s="13">
        <v>11</v>
      </c>
      <c r="N1944" s="13">
        <v>0</v>
      </c>
      <c r="O1944" s="15"/>
      <c r="P1944" s="6">
        <v>40690.771493055552</v>
      </c>
      <c r="Q1944" s="17" t="s">
        <v>6718</v>
      </c>
      <c r="R1944" s="18"/>
      <c r="S1944" s="12"/>
      <c r="T1944" s="12"/>
      <c r="U1944" s="10" t="str">
        <f>HYPERLINK("https://pbs.twimg.com/profile_images/1371728084/god_farside.jpg","View")</f>
        <v>View</v>
      </c>
    </row>
    <row r="1945" spans="1:21" ht="30.6">
      <c r="A1945" s="6">
        <v>43422.593819444446</v>
      </c>
      <c r="B1945" s="7" t="str">
        <f>HYPERLINK("https://twitter.com/pablo_casado","@pablo_casado")</f>
        <v>@pablo_casado</v>
      </c>
      <c r="C1945" s="8" t="s">
        <v>353</v>
      </c>
      <c r="D1945" s="9" t="s">
        <v>6719</v>
      </c>
      <c r="E1945" s="10" t="str">
        <f>HYPERLINK("https://twitter.com/pablo_casado/status/1064280867340775424","1064280867340775424")</f>
        <v>1064280867340775424</v>
      </c>
      <c r="F1945" s="12"/>
      <c r="G1945" s="12"/>
      <c r="H1945" s="12"/>
      <c r="I1945" s="13">
        <v>0</v>
      </c>
      <c r="J1945" s="13">
        <v>2</v>
      </c>
      <c r="K1945" s="14" t="str">
        <f t="shared" si="365"/>
        <v>Twitter Web Client</v>
      </c>
      <c r="L1945" s="13">
        <v>798</v>
      </c>
      <c r="M1945" s="13">
        <v>1165</v>
      </c>
      <c r="N1945" s="13">
        <v>16</v>
      </c>
      <c r="O1945" s="15"/>
      <c r="P1945" s="6">
        <v>40631.269189814819</v>
      </c>
      <c r="Q1945" s="17" t="s">
        <v>356</v>
      </c>
      <c r="R1945" s="16" t="s">
        <v>357</v>
      </c>
      <c r="S1945" s="11" t="s">
        <v>358</v>
      </c>
      <c r="T1945" s="12"/>
      <c r="U1945" s="10" t="str">
        <f>HYPERLINK("https://pbs.twimg.com/profile_images/960372546393837569/o7y23nco.jpg","View")</f>
        <v>View</v>
      </c>
    </row>
    <row r="1946" spans="1:21" ht="40.799999999999997">
      <c r="A1946" s="6">
        <v>43422.592256944445</v>
      </c>
      <c r="B1946" s="7" t="str">
        <f>HYPERLINK("https://twitter.com/caval100","@caval100")</f>
        <v>@caval100</v>
      </c>
      <c r="C1946" s="8" t="s">
        <v>1350</v>
      </c>
      <c r="D1946" s="9" t="s">
        <v>6720</v>
      </c>
      <c r="E1946" s="10" t="str">
        <f>HYPERLINK("https://twitter.com/caval100/status/1064280298148499458","1064280298148499458")</f>
        <v>1064280298148499458</v>
      </c>
      <c r="F1946" s="11" t="s">
        <v>5659</v>
      </c>
      <c r="G1946" s="12"/>
      <c r="H1946" s="12"/>
      <c r="I1946" s="13">
        <v>1</v>
      </c>
      <c r="J1946" s="13">
        <v>5</v>
      </c>
      <c r="K1946" s="14" t="str">
        <f>HYPERLINK("http://twitter.com/download/android","Twitter for Android")</f>
        <v>Twitter for Android</v>
      </c>
      <c r="L1946" s="13">
        <v>119224</v>
      </c>
      <c r="M1946" s="13">
        <v>94076</v>
      </c>
      <c r="N1946" s="13">
        <v>980</v>
      </c>
      <c r="O1946" s="15"/>
      <c r="P1946" s="6">
        <v>40079.062094907407</v>
      </c>
      <c r="Q1946" s="17" t="s">
        <v>971</v>
      </c>
      <c r="R1946" s="16" t="s">
        <v>1352</v>
      </c>
      <c r="S1946" s="11" t="s">
        <v>1353</v>
      </c>
      <c r="T1946" s="12"/>
      <c r="U1946" s="10" t="str">
        <f>HYPERLINK("https://pbs.twimg.com/profile_images/965350678301429760/uvGI7g8U.jpg","View")</f>
        <v>View</v>
      </c>
    </row>
    <row r="1947" spans="1:21" ht="40.799999999999997">
      <c r="A1947" s="6">
        <v>43422.592141203699</v>
      </c>
      <c r="B1947" s="7" t="str">
        <f>HYPERLINK("https://twitter.com/IngloriusLibris","@IngloriusLibris")</f>
        <v>@IngloriusLibris</v>
      </c>
      <c r="C1947" s="8" t="s">
        <v>6721</v>
      </c>
      <c r="D1947" s="9" t="s">
        <v>6722</v>
      </c>
      <c r="E1947" s="10" t="str">
        <f>HYPERLINK("https://twitter.com/IngloriusLibris/status/1064280257576996865","1064280257576996865")</f>
        <v>1064280257576996865</v>
      </c>
      <c r="F1947" s="12"/>
      <c r="G1947" s="12"/>
      <c r="H1947" s="12"/>
      <c r="I1947" s="13">
        <v>0</v>
      </c>
      <c r="J1947" s="13">
        <v>0</v>
      </c>
      <c r="K1947" s="14" t="str">
        <f>HYPERLINK("http://twitter.com","Twitter Web Client")</f>
        <v>Twitter Web Client</v>
      </c>
      <c r="L1947" s="13">
        <v>444</v>
      </c>
      <c r="M1947" s="13">
        <v>463</v>
      </c>
      <c r="N1947" s="13">
        <v>20</v>
      </c>
      <c r="O1947" s="15"/>
      <c r="P1947" s="6">
        <v>40464.469930555555</v>
      </c>
      <c r="Q1947" s="17" t="s">
        <v>6723</v>
      </c>
      <c r="R1947" s="16" t="s">
        <v>6724</v>
      </c>
      <c r="S1947" s="12"/>
      <c r="T1947" s="12"/>
      <c r="U1947" s="10" t="str">
        <f>HYPERLINK("https://pbs.twimg.com/profile_images/812011767563952128/U5pUSh68.jpg","View")</f>
        <v>View</v>
      </c>
    </row>
    <row r="1948" spans="1:21" ht="30.6">
      <c r="A1948" s="6">
        <v>43422.590567129635</v>
      </c>
      <c r="B1948" s="7" t="str">
        <f>HYPERLINK("https://twitter.com/jordiratsesteve","@jordiratsesteve")</f>
        <v>@jordiratsesteve</v>
      </c>
      <c r="C1948" s="8" t="s">
        <v>6725</v>
      </c>
      <c r="D1948" s="9" t="s">
        <v>6726</v>
      </c>
      <c r="E1948" s="10" t="str">
        <f>HYPERLINK("https://twitter.com/jordiratsesteve/status/1064279688825180161","1064279688825180161")</f>
        <v>1064279688825180161</v>
      </c>
      <c r="F1948" s="12"/>
      <c r="G1948" s="12"/>
      <c r="H1948" s="12"/>
      <c r="I1948" s="13">
        <v>1</v>
      </c>
      <c r="J1948" s="13">
        <v>1</v>
      </c>
      <c r="K1948" s="14" t="str">
        <f>HYPERLINK("http://twitter.com/download/android","Twitter for Android")</f>
        <v>Twitter for Android</v>
      </c>
      <c r="L1948" s="13">
        <v>40</v>
      </c>
      <c r="M1948" s="13">
        <v>98</v>
      </c>
      <c r="N1948" s="13">
        <v>0</v>
      </c>
      <c r="O1948" s="15"/>
      <c r="P1948" s="6">
        <v>41199.01971064815</v>
      </c>
      <c r="Q1948" s="17" t="s">
        <v>187</v>
      </c>
      <c r="R1948" s="16" t="s">
        <v>6727</v>
      </c>
      <c r="S1948" s="12"/>
      <c r="T1948" s="12"/>
      <c r="U1948" s="19" t="s">
        <v>368</v>
      </c>
    </row>
    <row r="1949" spans="1:21" ht="20.399999999999999">
      <c r="A1949" s="6">
        <v>43422.583622685182</v>
      </c>
      <c r="B1949" s="7" t="str">
        <f>HYPERLINK("https://twitter.com/SerLucena","@SerLucena")</f>
        <v>@SerLucena</v>
      </c>
      <c r="C1949" s="8" t="s">
        <v>6728</v>
      </c>
      <c r="D1949" s="9" t="s">
        <v>6729</v>
      </c>
      <c r="E1949" s="10" t="str">
        <f>HYPERLINK("https://twitter.com/SerLucena/status/1064277170212679680","1064277170212679680")</f>
        <v>1064277170212679680</v>
      </c>
      <c r="F1949" s="11" t="s">
        <v>6730</v>
      </c>
      <c r="G1949" s="11" t="s">
        <v>6731</v>
      </c>
      <c r="H1949" s="12"/>
      <c r="I1949" s="13">
        <v>0</v>
      </c>
      <c r="J1949" s="13">
        <v>0</v>
      </c>
      <c r="K1949" s="14" t="str">
        <f t="shared" ref="K1949:K1950" si="366">HYPERLINK("http://twitter.com","Twitter Web Client")</f>
        <v>Twitter Web Client</v>
      </c>
      <c r="L1949" s="13">
        <v>400</v>
      </c>
      <c r="M1949" s="13">
        <v>267</v>
      </c>
      <c r="N1949" s="13">
        <v>2</v>
      </c>
      <c r="O1949" s="15"/>
      <c r="P1949" s="6">
        <v>42200.153495370367</v>
      </c>
      <c r="Q1949" s="17" t="s">
        <v>6732</v>
      </c>
      <c r="R1949" s="16" t="s">
        <v>6733</v>
      </c>
      <c r="S1949" s="11" t="s">
        <v>6734</v>
      </c>
      <c r="T1949" s="12"/>
      <c r="U1949" s="10" t="str">
        <f>HYPERLINK("https://pbs.twimg.com/profile_images/1060594091598233602/TyLK0XPr.jpg","View")</f>
        <v>View</v>
      </c>
    </row>
    <row r="1950" spans="1:21" ht="30.6">
      <c r="A1950" s="6">
        <v>43422.581770833334</v>
      </c>
      <c r="B1950" s="7" t="str">
        <f>HYPERLINK("https://twitter.com/pablo_casado","@pablo_casado")</f>
        <v>@pablo_casado</v>
      </c>
      <c r="C1950" s="8" t="s">
        <v>353</v>
      </c>
      <c r="D1950" s="9" t="s">
        <v>6735</v>
      </c>
      <c r="E1950" s="10" t="str">
        <f>HYPERLINK("https://twitter.com/pablo_casado/status/1064276497740038144","1064276497740038144")</f>
        <v>1064276497740038144</v>
      </c>
      <c r="F1950" s="12"/>
      <c r="G1950" s="12"/>
      <c r="H1950" s="12"/>
      <c r="I1950" s="13">
        <v>0</v>
      </c>
      <c r="J1950" s="13">
        <v>2</v>
      </c>
      <c r="K1950" s="14" t="str">
        <f t="shared" si="366"/>
        <v>Twitter Web Client</v>
      </c>
      <c r="L1950" s="13">
        <v>798</v>
      </c>
      <c r="M1950" s="13">
        <v>1165</v>
      </c>
      <c r="N1950" s="13">
        <v>16</v>
      </c>
      <c r="O1950" s="15"/>
      <c r="P1950" s="6">
        <v>40631.269189814819</v>
      </c>
      <c r="Q1950" s="17" t="s">
        <v>356</v>
      </c>
      <c r="R1950" s="16" t="s">
        <v>357</v>
      </c>
      <c r="S1950" s="11" t="s">
        <v>358</v>
      </c>
      <c r="T1950" s="12"/>
      <c r="U1950" s="10" t="str">
        <f>HYPERLINK("https://pbs.twimg.com/profile_images/960372546393837569/o7y23nco.jpg","View")</f>
        <v>View</v>
      </c>
    </row>
    <row r="1951" spans="1:21" ht="30.6">
      <c r="A1951" s="6">
        <v>43422.574652777781</v>
      </c>
      <c r="B1951" s="7" t="str">
        <f>HYPERLINK("https://twitter.com/HazAlgoPodemos","@HazAlgoPodemos")</f>
        <v>@HazAlgoPodemos</v>
      </c>
      <c r="C1951" s="8" t="s">
        <v>6736</v>
      </c>
      <c r="D1951" s="9" t="s">
        <v>6737</v>
      </c>
      <c r="E1951" s="10" t="str">
        <f>HYPERLINK("https://twitter.com/HazAlgoPodemos/status/1064273920117878784","1064273920117878784")</f>
        <v>1064273920117878784</v>
      </c>
      <c r="F1951" s="12"/>
      <c r="G1951" s="12"/>
      <c r="H1951" s="12"/>
      <c r="I1951" s="13">
        <v>0</v>
      </c>
      <c r="J1951" s="13">
        <v>0</v>
      </c>
      <c r="K1951" s="14" t="str">
        <f t="shared" ref="K1951:K1953" si="367">HYPERLINK("http://twitter.com/download/android","Twitter for Android")</f>
        <v>Twitter for Android</v>
      </c>
      <c r="L1951" s="13">
        <v>219</v>
      </c>
      <c r="M1951" s="13">
        <v>350</v>
      </c>
      <c r="N1951" s="13">
        <v>0</v>
      </c>
      <c r="O1951" s="15"/>
      <c r="P1951" s="6">
        <v>41881.470266203702</v>
      </c>
      <c r="Q1951" s="12"/>
      <c r="R1951" s="16" t="s">
        <v>6738</v>
      </c>
      <c r="S1951" s="12"/>
      <c r="T1951" s="12"/>
      <c r="U1951" s="10" t="str">
        <f>HYPERLINK("https://pbs.twimg.com/profile_images/882254699151360004/8BILn7dl.jpg","View")</f>
        <v>View</v>
      </c>
    </row>
    <row r="1952" spans="1:21" ht="30.6">
      <c r="A1952" s="6">
        <v>43422.573946759258</v>
      </c>
      <c r="B1952" s="7" t="str">
        <f>HYPERLINK("https://twitter.com/manzanequep","@manzanequep")</f>
        <v>@manzanequep</v>
      </c>
      <c r="C1952" s="8" t="s">
        <v>6739</v>
      </c>
      <c r="D1952" s="9" t="s">
        <v>6740</v>
      </c>
      <c r="E1952" s="10" t="str">
        <f>HYPERLINK("https://twitter.com/manzanequep/status/1064273663548157957","1064273663548157957")</f>
        <v>1064273663548157957</v>
      </c>
      <c r="F1952" s="12"/>
      <c r="G1952" s="12"/>
      <c r="H1952" s="12"/>
      <c r="I1952" s="13">
        <v>0</v>
      </c>
      <c r="J1952" s="13">
        <v>0</v>
      </c>
      <c r="K1952" s="14" t="str">
        <f t="shared" si="367"/>
        <v>Twitter for Android</v>
      </c>
      <c r="L1952" s="13">
        <v>574</v>
      </c>
      <c r="M1952" s="13">
        <v>1499</v>
      </c>
      <c r="N1952" s="13">
        <v>0</v>
      </c>
      <c r="O1952" s="15"/>
      <c r="P1952" s="6">
        <v>42137.447638888887</v>
      </c>
      <c r="Q1952" s="17" t="s">
        <v>3877</v>
      </c>
      <c r="R1952" s="16" t="s">
        <v>6741</v>
      </c>
      <c r="S1952" s="12"/>
      <c r="T1952" s="12"/>
      <c r="U1952" s="10" t="str">
        <f>HYPERLINK("https://pbs.twimg.com/profile_images/895612705851277312/qBB2GUfd.jpg","View")</f>
        <v>View</v>
      </c>
    </row>
    <row r="1953" spans="1:21" ht="20.399999999999999">
      <c r="A1953" s="6">
        <v>43422.573229166665</v>
      </c>
      <c r="B1953" s="7" t="str">
        <f>HYPERLINK("https://twitter.com/Samuu_pk","@Samuu_pk")</f>
        <v>@Samuu_pk</v>
      </c>
      <c r="C1953" s="8" t="s">
        <v>5617</v>
      </c>
      <c r="D1953" s="9" t="s">
        <v>6742</v>
      </c>
      <c r="E1953" s="10" t="str">
        <f>HYPERLINK("https://twitter.com/Samuu_pk/status/1064273404285632518","1064273404285632518")</f>
        <v>1064273404285632518</v>
      </c>
      <c r="F1953" s="11" t="s">
        <v>5715</v>
      </c>
      <c r="G1953" s="12"/>
      <c r="H1953" s="12"/>
      <c r="I1953" s="13">
        <v>0</v>
      </c>
      <c r="J1953" s="13">
        <v>1</v>
      </c>
      <c r="K1953" s="14" t="str">
        <f t="shared" si="367"/>
        <v>Twitter for Android</v>
      </c>
      <c r="L1953" s="13">
        <v>73</v>
      </c>
      <c r="M1953" s="13">
        <v>124</v>
      </c>
      <c r="N1953" s="13">
        <v>0</v>
      </c>
      <c r="O1953" s="15"/>
      <c r="P1953" s="6">
        <v>41297.560659722221</v>
      </c>
      <c r="Q1953" s="17" t="s">
        <v>62</v>
      </c>
      <c r="R1953" s="16" t="s">
        <v>6743</v>
      </c>
      <c r="S1953" s="12"/>
      <c r="T1953" s="12"/>
      <c r="U1953" s="10" t="str">
        <f>HYPERLINK("https://pbs.twimg.com/profile_images/1012366056927715329/SvOOPHBF.jpg","View")</f>
        <v>View</v>
      </c>
    </row>
    <row r="1954" spans="1:21" ht="20.399999999999999">
      <c r="A1954" s="6">
        <v>43422.572939814811</v>
      </c>
      <c r="B1954" s="7" t="str">
        <f>HYPERLINK("https://twitter.com/Rafaelfiglesias","@Rafaelfiglesias")</f>
        <v>@Rafaelfiglesias</v>
      </c>
      <c r="C1954" s="8" t="s">
        <v>106</v>
      </c>
      <c r="D1954" s="9" t="s">
        <v>6185</v>
      </c>
      <c r="E1954" s="10" t="str">
        <f>HYPERLINK("https://twitter.com/Rafaelfiglesias/status/1064273299012796416","1064273299012796416")</f>
        <v>1064273299012796416</v>
      </c>
      <c r="F1954" s="11" t="s">
        <v>5997</v>
      </c>
      <c r="G1954" s="12"/>
      <c r="H1954" s="12"/>
      <c r="I1954" s="13">
        <v>0</v>
      </c>
      <c r="J1954" s="13">
        <v>0</v>
      </c>
      <c r="K1954" s="14" t="str">
        <f>HYPERLINK("http://twitter.com","Twitter Web Client")</f>
        <v>Twitter Web Client</v>
      </c>
      <c r="L1954" s="13">
        <v>1051</v>
      </c>
      <c r="M1954" s="13">
        <v>964</v>
      </c>
      <c r="N1954" s="13">
        <v>13</v>
      </c>
      <c r="O1954" s="15"/>
      <c r="P1954" s="6">
        <v>40531.354375000003</v>
      </c>
      <c r="Q1954" s="17" t="s">
        <v>110</v>
      </c>
      <c r="R1954" s="16" t="s">
        <v>112</v>
      </c>
      <c r="S1954" s="11" t="s">
        <v>113</v>
      </c>
      <c r="T1954" s="12"/>
      <c r="U1954" s="10" t="str">
        <f>HYPERLINK("https://pbs.twimg.com/profile_images/796108645503213569/ms0nX-so.jpg","View")</f>
        <v>View</v>
      </c>
    </row>
    <row r="1955" spans="1:21" ht="13.2">
      <c r="A1955" s="6">
        <v>43422.567141203705</v>
      </c>
      <c r="B1955" s="7" t="str">
        <f>HYPERLINK("https://twitter.com/exonautes","@exonautes")</f>
        <v>@exonautes</v>
      </c>
      <c r="C1955" s="8" t="s">
        <v>6744</v>
      </c>
      <c r="D1955" s="9" t="s">
        <v>6745</v>
      </c>
      <c r="E1955" s="10" t="str">
        <f>HYPERLINK("https://twitter.com/exonautes/status/1064271198106865665","1064271198106865665")</f>
        <v>1064271198106865665</v>
      </c>
      <c r="F1955" s="11" t="s">
        <v>4948</v>
      </c>
      <c r="G1955" s="12"/>
      <c r="H1955" s="12"/>
      <c r="I1955" s="13">
        <v>0</v>
      </c>
      <c r="J1955" s="13">
        <v>0</v>
      </c>
      <c r="K1955" s="14" t="str">
        <f>HYPERLINK("http://www.facebook.com/twitter","Facebook")</f>
        <v>Facebook</v>
      </c>
      <c r="L1955" s="13">
        <v>620</v>
      </c>
      <c r="M1955" s="13">
        <v>1580</v>
      </c>
      <c r="N1955" s="13">
        <v>6</v>
      </c>
      <c r="O1955" s="15"/>
      <c r="P1955" s="6">
        <v>40357.462581018517</v>
      </c>
      <c r="Q1955" s="12"/>
      <c r="R1955" s="16" t="s">
        <v>6746</v>
      </c>
      <c r="S1955" s="12"/>
      <c r="T1955" s="12"/>
      <c r="U1955" s="10" t="str">
        <f>HYPERLINK("https://pbs.twimg.com/profile_images/866004496211693568/Lmhd9s5P.jpg","View")</f>
        <v>View</v>
      </c>
    </row>
    <row r="1956" spans="1:21" ht="20.399999999999999">
      <c r="A1956" s="6">
        <v>43422.564293981486</v>
      </c>
      <c r="B1956" s="7" t="str">
        <f>HYPERLINK("https://twitter.com/huelvared","@huelvared")</f>
        <v>@huelvared</v>
      </c>
      <c r="C1956" s="8" t="s">
        <v>6747</v>
      </c>
      <c r="D1956" s="9" t="s">
        <v>6748</v>
      </c>
      <c r="E1956" s="10" t="str">
        <f>HYPERLINK("https://twitter.com/huelvared/status/1064270164793925632","1064270164793925632")</f>
        <v>1064270164793925632</v>
      </c>
      <c r="F1956" s="11" t="s">
        <v>6749</v>
      </c>
      <c r="G1956" s="12"/>
      <c r="H1956" s="12"/>
      <c r="I1956" s="13">
        <v>0</v>
      </c>
      <c r="J1956" s="13">
        <v>0</v>
      </c>
      <c r="K1956" s="14" t="str">
        <f>HYPERLINK("http://publicize.wp.com/","WordPress.com")</f>
        <v>WordPress.com</v>
      </c>
      <c r="L1956" s="13">
        <v>1494</v>
      </c>
      <c r="M1956" s="13">
        <v>1201</v>
      </c>
      <c r="N1956" s="13">
        <v>20</v>
      </c>
      <c r="O1956" s="15"/>
      <c r="P1956" s="6">
        <v>42386.598715277782</v>
      </c>
      <c r="Q1956" s="12"/>
      <c r="R1956" s="18"/>
      <c r="S1956" s="12"/>
      <c r="T1956" s="12"/>
      <c r="U1956" s="10" t="str">
        <f>HYPERLINK("https://pbs.twimg.com/profile_images/694101692615430144/ZwyTAZT8.jpg","View")</f>
        <v>View</v>
      </c>
    </row>
    <row r="1957" spans="1:21" ht="40.799999999999997">
      <c r="A1957" s="6">
        <v>43422.563344907408</v>
      </c>
      <c r="B1957" s="7" t="str">
        <f>HYPERLINK("https://twitter.com/magovel82","@magovel82")</f>
        <v>@magovel82</v>
      </c>
      <c r="C1957" s="8" t="s">
        <v>6750</v>
      </c>
      <c r="D1957" s="9" t="s">
        <v>1940</v>
      </c>
      <c r="E1957" s="10" t="str">
        <f>HYPERLINK("https://twitter.com/magovel82/status/1064269821825691648","1064269821825691648")</f>
        <v>1064269821825691648</v>
      </c>
      <c r="F1957" s="11" t="s">
        <v>1941</v>
      </c>
      <c r="G1957" s="12"/>
      <c r="H1957" s="12"/>
      <c r="I1957" s="13">
        <v>0</v>
      </c>
      <c r="J1957" s="13">
        <v>0</v>
      </c>
      <c r="K1957" s="14" t="str">
        <f>HYPERLINK("http://www.facebook.com/twitter","Facebook")</f>
        <v>Facebook</v>
      </c>
      <c r="L1957" s="13">
        <v>653</v>
      </c>
      <c r="M1957" s="13">
        <v>1239</v>
      </c>
      <c r="N1957" s="13">
        <v>19</v>
      </c>
      <c r="O1957" s="15"/>
      <c r="P1957" s="6">
        <v>40878.410821759258</v>
      </c>
      <c r="Q1957" s="17" t="s">
        <v>6751</v>
      </c>
      <c r="R1957" s="16" t="s">
        <v>6752</v>
      </c>
      <c r="S1957" s="12"/>
      <c r="T1957" s="12"/>
      <c r="U1957" s="10" t="str">
        <f>HYPERLINK("https://pbs.twimg.com/profile_images/507846944102678529/VDOyaJj1.jpeg","View")</f>
        <v>View</v>
      </c>
    </row>
    <row r="1958" spans="1:21" ht="20.399999999999999">
      <c r="A1958" s="6">
        <v>43422.559027777781</v>
      </c>
      <c r="B1958" s="7" t="str">
        <f>HYPERLINK("https://twitter.com/eldiarioes","@eldiarioes")</f>
        <v>@eldiarioes</v>
      </c>
      <c r="C1958" s="20" t="s">
        <v>687</v>
      </c>
      <c r="D1958" s="9" t="s">
        <v>6753</v>
      </c>
      <c r="E1958" s="10" t="str">
        <f>HYPERLINK("https://twitter.com/eldiarioes/status/1064268257140461568","1064268257140461568")</f>
        <v>1064268257140461568</v>
      </c>
      <c r="F1958" s="11" t="s">
        <v>5997</v>
      </c>
      <c r="G1958" s="11" t="s">
        <v>6754</v>
      </c>
      <c r="H1958" s="12"/>
      <c r="I1958" s="13">
        <v>25</v>
      </c>
      <c r="J1958" s="13">
        <v>27</v>
      </c>
      <c r="K1958" s="14" t="str">
        <f>HYPERLINK("https://about.twitter.com/products/tweetdeck","TweetDeck")</f>
        <v>TweetDeck</v>
      </c>
      <c r="L1958" s="13">
        <v>936615</v>
      </c>
      <c r="M1958" s="13">
        <v>456</v>
      </c>
      <c r="N1958" s="13">
        <v>11235</v>
      </c>
      <c r="O1958" s="19" t="s">
        <v>74</v>
      </c>
      <c r="P1958" s="6">
        <v>40992.505856481483</v>
      </c>
      <c r="Q1958" s="12"/>
      <c r="R1958" s="16" t="s">
        <v>692</v>
      </c>
      <c r="S1958" s="11" t="s">
        <v>693</v>
      </c>
      <c r="T1958" s="12"/>
      <c r="U1958" s="10" t="str">
        <f>HYPERLINK("https://pbs.twimg.com/profile_images/1016600645292511232/eYIkIK2s.jpg","View")</f>
        <v>View</v>
      </c>
    </row>
    <row r="1959" spans="1:21" ht="40.799999999999997">
      <c r="A1959" s="6">
        <v>43422.55868055555</v>
      </c>
      <c r="B1959" s="7" t="str">
        <f>HYPERLINK("https://twitter.com/Aixinetas","@Aixinetas")</f>
        <v>@Aixinetas</v>
      </c>
      <c r="C1959" s="8" t="s">
        <v>6755</v>
      </c>
      <c r="D1959" s="9" t="s">
        <v>6756</v>
      </c>
      <c r="E1959" s="10" t="str">
        <f>HYPERLINK("https://twitter.com/Aixinetas/status/1064268130988494848","1064268130988494848")</f>
        <v>1064268130988494848</v>
      </c>
      <c r="F1959" s="11" t="s">
        <v>4018</v>
      </c>
      <c r="G1959" s="12"/>
      <c r="H1959" s="12"/>
      <c r="I1959" s="13">
        <v>1</v>
      </c>
      <c r="J1959" s="13">
        <v>0</v>
      </c>
      <c r="K1959" s="14" t="str">
        <f t="shared" ref="K1959:K1961" si="368">HYPERLINK("http://twitter.com","Twitter Web Client")</f>
        <v>Twitter Web Client</v>
      </c>
      <c r="L1959" s="13">
        <v>5173</v>
      </c>
      <c r="M1959" s="13">
        <v>3479</v>
      </c>
      <c r="N1959" s="13">
        <v>43</v>
      </c>
      <c r="O1959" s="15"/>
      <c r="P1959" s="6">
        <v>40515.463287037041</v>
      </c>
      <c r="Q1959" s="17" t="s">
        <v>6757</v>
      </c>
      <c r="R1959" s="16" t="s">
        <v>6758</v>
      </c>
      <c r="S1959" s="12"/>
      <c r="T1959" s="12"/>
      <c r="U1959" s="10" t="str">
        <f>HYPERLINK("https://pbs.twimg.com/profile_images/953289321058062336/C3W511jx.jpg","View")</f>
        <v>View</v>
      </c>
    </row>
    <row r="1960" spans="1:21" ht="20.399999999999999">
      <c r="A1960" s="6">
        <v>43422.556874999995</v>
      </c>
      <c r="B1960" s="7" t="str">
        <f>HYPERLINK("https://twitter.com/JOASDASA","@JOASDASA")</f>
        <v>@JOASDASA</v>
      </c>
      <c r="C1960" s="8" t="s">
        <v>6759</v>
      </c>
      <c r="D1960" s="9" t="s">
        <v>6641</v>
      </c>
      <c r="E1960" s="10" t="str">
        <f>HYPERLINK("https://twitter.com/JOASDASA/status/1064267479764135936","1064267479764135936")</f>
        <v>1064267479764135936</v>
      </c>
      <c r="F1960" s="11" t="s">
        <v>5715</v>
      </c>
      <c r="G1960" s="12"/>
      <c r="H1960" s="12"/>
      <c r="I1960" s="13">
        <v>0</v>
      </c>
      <c r="J1960" s="13">
        <v>0</v>
      </c>
      <c r="K1960" s="14" t="str">
        <f t="shared" si="368"/>
        <v>Twitter Web Client</v>
      </c>
      <c r="L1960" s="13">
        <v>32</v>
      </c>
      <c r="M1960" s="13">
        <v>63</v>
      </c>
      <c r="N1960" s="13">
        <v>0</v>
      </c>
      <c r="O1960" s="15"/>
      <c r="P1960" s="6">
        <v>42396.871550925927</v>
      </c>
      <c r="Q1960" s="12"/>
      <c r="R1960" s="18"/>
      <c r="S1960" s="12"/>
      <c r="T1960" s="12"/>
      <c r="U1960" s="10" t="str">
        <f>HYPERLINK("https://pbs.twimg.com/profile_images/981929274180554754/NYqTbFpR.jpg","View")</f>
        <v>View</v>
      </c>
    </row>
    <row r="1961" spans="1:21" ht="20.399999999999999">
      <c r="A1961" s="6">
        <v>43422.556562500002</v>
      </c>
      <c r="B1961" s="7" t="str">
        <f>HYPERLINK("https://twitter.com/JYsamat","@JYsamat")</f>
        <v>@JYsamat</v>
      </c>
      <c r="C1961" s="8" t="s">
        <v>6760</v>
      </c>
      <c r="D1961" s="9" t="s">
        <v>6761</v>
      </c>
      <c r="E1961" s="10" t="str">
        <f>HYPERLINK("https://twitter.com/JYsamat/status/1064267363795853312","1064267363795853312")</f>
        <v>1064267363795853312</v>
      </c>
      <c r="F1961" s="11" t="s">
        <v>6701</v>
      </c>
      <c r="G1961" s="12"/>
      <c r="H1961" s="12"/>
      <c r="I1961" s="13">
        <v>0</v>
      </c>
      <c r="J1961" s="13">
        <v>0</v>
      </c>
      <c r="K1961" s="14" t="str">
        <f t="shared" si="368"/>
        <v>Twitter Web Client</v>
      </c>
      <c r="L1961" s="13">
        <v>170</v>
      </c>
      <c r="M1961" s="13">
        <v>167</v>
      </c>
      <c r="N1961" s="13">
        <v>2</v>
      </c>
      <c r="O1961" s="15"/>
      <c r="P1961" s="6">
        <v>41624.57472222222</v>
      </c>
      <c r="Q1961" s="17" t="s">
        <v>6762</v>
      </c>
      <c r="R1961" s="16" t="s">
        <v>6763</v>
      </c>
      <c r="S1961" s="11" t="s">
        <v>6764</v>
      </c>
      <c r="T1961" s="12"/>
      <c r="U1961" s="10" t="str">
        <f>HYPERLINK("https://pbs.twimg.com/profile_images/1003961954917081088/3fQuo0hg.jpg","View")</f>
        <v>View</v>
      </c>
    </row>
    <row r="1962" spans="1:21" ht="51">
      <c r="A1962" s="6">
        <v>43422.552280092597</v>
      </c>
      <c r="B1962" s="7" t="str">
        <f>HYPERLINK("https://twitter.com/ehbildugasteiz","@ehbildugasteiz")</f>
        <v>@ehbildugasteiz</v>
      </c>
      <c r="C1962" s="8" t="s">
        <v>3792</v>
      </c>
      <c r="D1962" s="9" t="s">
        <v>6765</v>
      </c>
      <c r="E1962" s="10" t="str">
        <f>HYPERLINK("https://twitter.com/ehbildugasteiz/status/1064265813677539329","1064265813677539329")</f>
        <v>1064265813677539329</v>
      </c>
      <c r="F1962" s="11" t="s">
        <v>6766</v>
      </c>
      <c r="G1962" s="11" t="s">
        <v>6767</v>
      </c>
      <c r="H1962" s="12"/>
      <c r="I1962" s="13">
        <v>0</v>
      </c>
      <c r="J1962" s="13">
        <v>2</v>
      </c>
      <c r="K1962" s="14" t="str">
        <f>HYPERLINK("https://www.hootsuite.com","Hootsuite Inc.")</f>
        <v>Hootsuite Inc.</v>
      </c>
      <c r="L1962" s="13">
        <v>4176</v>
      </c>
      <c r="M1962" s="13">
        <v>2385</v>
      </c>
      <c r="N1962" s="13">
        <v>76</v>
      </c>
      <c r="O1962" s="15"/>
      <c r="P1962" s="6">
        <v>40736.206967592589</v>
      </c>
      <c r="Q1962" s="17" t="s">
        <v>726</v>
      </c>
      <c r="R1962" s="16" t="s">
        <v>3795</v>
      </c>
      <c r="S1962" s="11" t="s">
        <v>3796</v>
      </c>
      <c r="T1962" s="12"/>
      <c r="U1962" s="10" t="str">
        <f>HYPERLINK("https://pbs.twimg.com/profile_images/1065848298492362753/lksFhcmO.jpg","View")</f>
        <v>View</v>
      </c>
    </row>
    <row r="1963" spans="1:21" ht="20.399999999999999">
      <c r="A1963" s="6">
        <v>43422.552152777775</v>
      </c>
      <c r="B1963" s="7" t="str">
        <f>HYPERLINK("https://twitter.com/crispiernagorda","@crispiernagorda")</f>
        <v>@crispiernagorda</v>
      </c>
      <c r="C1963" s="8" t="s">
        <v>6768</v>
      </c>
      <c r="D1963" s="9" t="s">
        <v>6769</v>
      </c>
      <c r="E1963" s="10" t="str">
        <f>HYPERLINK("https://twitter.com/crispiernagorda/status/1064265765107445761","1064265765107445761")</f>
        <v>1064265765107445761</v>
      </c>
      <c r="F1963" s="12"/>
      <c r="G1963" s="11" t="s">
        <v>6770</v>
      </c>
      <c r="H1963" s="12"/>
      <c r="I1963" s="13">
        <v>0</v>
      </c>
      <c r="J1963" s="13">
        <v>5</v>
      </c>
      <c r="K1963" s="14" t="str">
        <f t="shared" ref="K1963:K1965" si="369">HYPERLINK("http://twitter.com/download/android","Twitter for Android")</f>
        <v>Twitter for Android</v>
      </c>
      <c r="L1963" s="13">
        <v>118</v>
      </c>
      <c r="M1963" s="13">
        <v>393</v>
      </c>
      <c r="N1963" s="13">
        <v>0</v>
      </c>
      <c r="O1963" s="15"/>
      <c r="P1963" s="6">
        <v>42429.394259259258</v>
      </c>
      <c r="Q1963" s="12"/>
      <c r="R1963" s="16" t="s">
        <v>6771</v>
      </c>
      <c r="S1963" s="12"/>
      <c r="T1963" s="12"/>
      <c r="U1963" s="10" t="str">
        <f>HYPERLINK("https://pbs.twimg.com/profile_images/1033133050039861248/3So7gevA.jpg","View")</f>
        <v>View</v>
      </c>
    </row>
    <row r="1964" spans="1:21" ht="40.799999999999997">
      <c r="A1964" s="6">
        <v>43422.550416666665</v>
      </c>
      <c r="B1964" s="7" t="str">
        <f>HYPERLINK("https://twitter.com/VicRF72","@VicRF72")</f>
        <v>@VicRF72</v>
      </c>
      <c r="C1964" s="8" t="s">
        <v>6772</v>
      </c>
      <c r="D1964" s="9" t="s">
        <v>6773</v>
      </c>
      <c r="E1964" s="10" t="str">
        <f>HYPERLINK("https://twitter.com/VicRF72/status/1064265138302320645","1064265138302320645")</f>
        <v>1064265138302320645</v>
      </c>
      <c r="F1964" s="12"/>
      <c r="G1964" s="12"/>
      <c r="H1964" s="12"/>
      <c r="I1964" s="13">
        <v>0</v>
      </c>
      <c r="J1964" s="13">
        <v>0</v>
      </c>
      <c r="K1964" s="14" t="str">
        <f t="shared" si="369"/>
        <v>Twitter for Android</v>
      </c>
      <c r="L1964" s="13">
        <v>2401</v>
      </c>
      <c r="M1964" s="13">
        <v>4955</v>
      </c>
      <c r="N1964" s="13">
        <v>7</v>
      </c>
      <c r="O1964" s="15"/>
      <c r="P1964" s="6">
        <v>40696.653437499997</v>
      </c>
      <c r="Q1964" s="17" t="s">
        <v>6774</v>
      </c>
      <c r="R1964" s="16" t="s">
        <v>6775</v>
      </c>
      <c r="S1964" s="12"/>
      <c r="T1964" s="12"/>
      <c r="U1964" s="10" t="str">
        <f>HYPERLINK("https://pbs.twimg.com/profile_images/378800000469918873/902fb4b2a11b4632d5d1997bf4a8588c.jpeg","View")</f>
        <v>View</v>
      </c>
    </row>
    <row r="1965" spans="1:21" ht="40.799999999999997">
      <c r="A1965" s="6">
        <v>43422.549375000002</v>
      </c>
      <c r="B1965" s="7" t="str">
        <f>HYPERLINK("https://twitter.com/vilpetrus","@vilpetrus")</f>
        <v>@vilpetrus</v>
      </c>
      <c r="C1965" s="8" t="s">
        <v>6776</v>
      </c>
      <c r="D1965" s="9" t="s">
        <v>6777</v>
      </c>
      <c r="E1965" s="10" t="str">
        <f>HYPERLINK("https://twitter.com/vilpetrus/status/1064264761993498629","1064264761993498629")</f>
        <v>1064264761993498629</v>
      </c>
      <c r="F1965" s="11" t="s">
        <v>6778</v>
      </c>
      <c r="G1965" s="12"/>
      <c r="H1965" s="12"/>
      <c r="I1965" s="13">
        <v>1</v>
      </c>
      <c r="J1965" s="13">
        <v>3</v>
      </c>
      <c r="K1965" s="14" t="str">
        <f t="shared" si="369"/>
        <v>Twitter for Android</v>
      </c>
      <c r="L1965" s="13">
        <v>5183</v>
      </c>
      <c r="M1965" s="13">
        <v>4848</v>
      </c>
      <c r="N1965" s="13">
        <v>192</v>
      </c>
      <c r="O1965" s="15"/>
      <c r="P1965" s="6">
        <v>41300.498043981483</v>
      </c>
      <c r="Q1965" s="17" t="s">
        <v>6779</v>
      </c>
      <c r="R1965" s="16" t="s">
        <v>6780</v>
      </c>
      <c r="S1965" s="11" t="s">
        <v>6781</v>
      </c>
      <c r="T1965" s="12"/>
      <c r="U1965" s="10" t="str">
        <f>HYPERLINK("https://pbs.twimg.com/profile_images/957639207270408192/E1FJMYGk.jpg","View")</f>
        <v>View</v>
      </c>
    </row>
    <row r="1966" spans="1:21" ht="51">
      <c r="A1966" s="6">
        <v>43422.548541666663</v>
      </c>
      <c r="B1966" s="7" t="str">
        <f>HYPERLINK("https://twitter.com/mag_linares","@mag_linares")</f>
        <v>@mag_linares</v>
      </c>
      <c r="C1966" s="8" t="s">
        <v>6782</v>
      </c>
      <c r="D1966" s="9" t="s">
        <v>6783</v>
      </c>
      <c r="E1966" s="10" t="str">
        <f>HYPERLINK("https://twitter.com/mag_linares/status/1064264456438509570","1064264456438509570")</f>
        <v>1064264456438509570</v>
      </c>
      <c r="F1966" s="12"/>
      <c r="G1966" s="12"/>
      <c r="H1966" s="12"/>
      <c r="I1966" s="13">
        <v>8</v>
      </c>
      <c r="J1966" s="13">
        <v>8</v>
      </c>
      <c r="K1966" s="14" t="str">
        <f>HYPERLINK("http://twitter.com","Twitter Web Client")</f>
        <v>Twitter Web Client</v>
      </c>
      <c r="L1966" s="13">
        <v>570</v>
      </c>
      <c r="M1966" s="13">
        <v>546</v>
      </c>
      <c r="N1966" s="13">
        <v>15</v>
      </c>
      <c r="O1966" s="15"/>
      <c r="P1966" s="6">
        <v>40799.102719907409</v>
      </c>
      <c r="Q1966" s="17" t="s">
        <v>6784</v>
      </c>
      <c r="R1966" s="16" t="s">
        <v>6785</v>
      </c>
      <c r="S1966" s="11" t="s">
        <v>6786</v>
      </c>
      <c r="T1966" s="12"/>
      <c r="U1966" s="10" t="str">
        <f>HYPERLINK("https://pbs.twimg.com/profile_images/843492963196063744/kEIEbZVX.jpg","View")</f>
        <v>View</v>
      </c>
    </row>
    <row r="1967" spans="1:21" ht="30.6">
      <c r="A1967" s="6">
        <v>43422.545138888891</v>
      </c>
      <c r="B1967" s="7" t="str">
        <f>HYPERLINK("https://twitter.com/diario6com","@diario6com")</f>
        <v>@diario6com</v>
      </c>
      <c r="C1967" s="8" t="s">
        <v>4073</v>
      </c>
      <c r="D1967" s="9" t="s">
        <v>4053</v>
      </c>
      <c r="E1967" s="10" t="str">
        <f>HYPERLINK("https://twitter.com/diario6com/status/1064263224181149696","1064263224181149696")</f>
        <v>1064263224181149696</v>
      </c>
      <c r="F1967" s="11" t="s">
        <v>6787</v>
      </c>
      <c r="G1967" s="12"/>
      <c r="H1967" s="12"/>
      <c r="I1967" s="13">
        <v>606</v>
      </c>
      <c r="J1967" s="13">
        <v>242</v>
      </c>
      <c r="K1967" s="14" t="str">
        <f>HYPERLINK("https://ads-api.twitter.com","Twitter Ads Composer")</f>
        <v>Twitter Ads Composer</v>
      </c>
      <c r="L1967" s="13">
        <v>16698</v>
      </c>
      <c r="M1967" s="13">
        <v>18268</v>
      </c>
      <c r="N1967" s="13">
        <v>58</v>
      </c>
      <c r="O1967" s="15"/>
      <c r="P1967" s="6">
        <v>42047.502326388887</v>
      </c>
      <c r="Q1967" s="17" t="s">
        <v>2963</v>
      </c>
      <c r="R1967" s="16" t="s">
        <v>4074</v>
      </c>
      <c r="S1967" s="11" t="s">
        <v>4075</v>
      </c>
      <c r="T1967" s="12"/>
      <c r="U1967" s="10" t="str">
        <f>HYPERLINK("https://pbs.twimg.com/profile_images/1029844684678545408/3pqjvqSg.jpg","View")</f>
        <v>View</v>
      </c>
    </row>
    <row r="1968" spans="1:21" ht="61.2">
      <c r="A1968" s="6">
        <v>43422.542071759264</v>
      </c>
      <c r="B1968" s="7" t="str">
        <f>HYPERLINK("https://twitter.com/CastilianWoman","@CastilianWoman")</f>
        <v>@CastilianWoman</v>
      </c>
      <c r="C1968" s="8" t="s">
        <v>6788</v>
      </c>
      <c r="D1968" s="9" t="s">
        <v>6789</v>
      </c>
      <c r="E1968" s="10" t="str">
        <f>HYPERLINK("https://twitter.com/CastilianWoman/status/1064262115190550528","1064262115190550528")</f>
        <v>1064262115190550528</v>
      </c>
      <c r="F1968" s="12"/>
      <c r="G1968" s="12"/>
      <c r="H1968" s="12"/>
      <c r="I1968" s="13">
        <v>1</v>
      </c>
      <c r="J1968" s="13">
        <v>2</v>
      </c>
      <c r="K1968" s="14" t="str">
        <f>HYPERLINK("http://twitter.com/#!/download/ipad","Twitter for iPad")</f>
        <v>Twitter for iPad</v>
      </c>
      <c r="L1968" s="13">
        <v>2309</v>
      </c>
      <c r="M1968" s="13">
        <v>3902</v>
      </c>
      <c r="N1968" s="13">
        <v>23</v>
      </c>
      <c r="O1968" s="15"/>
      <c r="P1968" s="6">
        <v>42595.296261574069</v>
      </c>
      <c r="Q1968" s="17" t="s">
        <v>6790</v>
      </c>
      <c r="R1968" s="16" t="s">
        <v>6791</v>
      </c>
      <c r="S1968" s="12"/>
      <c r="T1968" s="12"/>
      <c r="U1968" s="10" t="str">
        <f>HYPERLINK("https://pbs.twimg.com/profile_images/927908445357002752/7Zlsd7X9.jpg","View")</f>
        <v>View</v>
      </c>
    </row>
    <row r="1969" spans="1:21" ht="40.799999999999997">
      <c r="A1969" s="6">
        <v>43422.54184027778</v>
      </c>
      <c r="B1969" s="7" t="str">
        <f>HYPERLINK("https://twitter.com/Pau_Vega13","@Pau_Vega13")</f>
        <v>@Pau_Vega13</v>
      </c>
      <c r="C1969" s="8" t="s">
        <v>6792</v>
      </c>
      <c r="D1969" s="9" t="s">
        <v>6793</v>
      </c>
      <c r="E1969" s="10" t="str">
        <f>HYPERLINK("https://twitter.com/Pau_Vega13/status/1064262031069667328","1064262031069667328")</f>
        <v>1064262031069667328</v>
      </c>
      <c r="F1969" s="11" t="s">
        <v>6794</v>
      </c>
      <c r="G1969" s="12"/>
      <c r="H1969" s="12"/>
      <c r="I1969" s="13">
        <v>2</v>
      </c>
      <c r="J1969" s="13">
        <v>2</v>
      </c>
      <c r="K1969" s="14" t="str">
        <f>HYPERLINK("http://twitter.com/download/android","Twitter for Android")</f>
        <v>Twitter for Android</v>
      </c>
      <c r="L1969" s="13">
        <v>1270</v>
      </c>
      <c r="M1969" s="13">
        <v>318</v>
      </c>
      <c r="N1969" s="13">
        <v>24</v>
      </c>
      <c r="O1969" s="15"/>
      <c r="P1969" s="6">
        <v>42480.350706018522</v>
      </c>
      <c r="Q1969" s="17" t="s">
        <v>6795</v>
      </c>
      <c r="R1969" s="16" t="s">
        <v>6796</v>
      </c>
      <c r="S1969" s="12"/>
      <c r="T1969" s="12"/>
      <c r="U1969" s="10" t="str">
        <f>HYPERLINK("https://pbs.twimg.com/profile_images/1058110936706416641/TY_XEIc6.jpg","View")</f>
        <v>View</v>
      </c>
    </row>
    <row r="1970" spans="1:21" ht="30.6">
      <c r="A1970" s="6">
        <v>43422.540092592593</v>
      </c>
      <c r="B1970" s="7" t="str">
        <f>HYPERLINK("https://twitter.com/jandcalderon985","@jandcalderon985")</f>
        <v>@jandcalderon985</v>
      </c>
      <c r="C1970" s="8" t="s">
        <v>6797</v>
      </c>
      <c r="D1970" s="9" t="s">
        <v>6798</v>
      </c>
      <c r="E1970" s="10" t="str">
        <f>HYPERLINK("https://twitter.com/jandcalderon985/status/1064261397608087562","1064261397608087562")</f>
        <v>1064261397608087562</v>
      </c>
      <c r="F1970" s="12"/>
      <c r="G1970" s="11" t="s">
        <v>6799</v>
      </c>
      <c r="H1970" s="12"/>
      <c r="I1970" s="13">
        <v>4</v>
      </c>
      <c r="J1970" s="13">
        <v>9</v>
      </c>
      <c r="K1970" s="14" t="str">
        <f>HYPERLINK("http://twitter.com/download/iphone","Twitter for iPhone")</f>
        <v>Twitter for iPhone</v>
      </c>
      <c r="L1970" s="13">
        <v>11941</v>
      </c>
      <c r="M1970" s="13">
        <v>505</v>
      </c>
      <c r="N1970" s="13">
        <v>224</v>
      </c>
      <c r="O1970" s="15"/>
      <c r="P1970" s="6">
        <v>40905.633391203708</v>
      </c>
      <c r="Q1970" s="17" t="s">
        <v>6800</v>
      </c>
      <c r="R1970" s="16" t="s">
        <v>6801</v>
      </c>
      <c r="S1970" s="11" t="s">
        <v>6802</v>
      </c>
      <c r="T1970" s="12"/>
      <c r="U1970" s="10" t="str">
        <f>HYPERLINK("https://pbs.twimg.com/profile_images/1047953366658240512/vIxzJcfx.jpg","View")</f>
        <v>View</v>
      </c>
    </row>
    <row r="1971" spans="1:21" ht="51">
      <c r="A1971" s="6">
        <v>43422.53869212963</v>
      </c>
      <c r="B1971" s="7" t="str">
        <f>HYPERLINK("https://twitter.com/jaunaborja","@jaunaborja")</f>
        <v>@jaunaborja</v>
      </c>
      <c r="C1971" s="8" t="s">
        <v>6803</v>
      </c>
      <c r="D1971" s="9" t="s">
        <v>6804</v>
      </c>
      <c r="E1971" s="10" t="str">
        <f>HYPERLINK("https://twitter.com/jaunaborja/status/1064260889036161024","1064260889036161024")</f>
        <v>1064260889036161024</v>
      </c>
      <c r="F1971" s="12"/>
      <c r="G1971" s="12"/>
      <c r="H1971" s="12"/>
      <c r="I1971" s="13">
        <v>1</v>
      </c>
      <c r="J1971" s="13">
        <v>2</v>
      </c>
      <c r="K1971" s="14" t="str">
        <f>HYPERLINK("http://twitter.com","Twitter Web Client")</f>
        <v>Twitter Web Client</v>
      </c>
      <c r="L1971" s="13">
        <v>355</v>
      </c>
      <c r="M1971" s="13">
        <v>347</v>
      </c>
      <c r="N1971" s="13">
        <v>1</v>
      </c>
      <c r="O1971" s="15"/>
      <c r="P1971" s="6">
        <v>41209.662187499998</v>
      </c>
      <c r="Q1971" s="17" t="s">
        <v>6805</v>
      </c>
      <c r="R1971" s="16" t="s">
        <v>6806</v>
      </c>
      <c r="S1971" s="12"/>
      <c r="T1971" s="12"/>
      <c r="U1971" s="10" t="str">
        <f>HYPERLINK("https://pbs.twimg.com/profile_images/712418287133585409/uS9OiUrU.jpg","View")</f>
        <v>View</v>
      </c>
    </row>
    <row r="1972" spans="1:21" ht="40.799999999999997">
      <c r="A1972" s="6">
        <v>43422.535740740743</v>
      </c>
      <c r="B1972" s="7" t="str">
        <f>HYPERLINK("https://twitter.com/cmfanegas","@cmfanegas")</f>
        <v>@cmfanegas</v>
      </c>
      <c r="C1972" s="8" t="s">
        <v>6807</v>
      </c>
      <c r="D1972" s="9" t="s">
        <v>6808</v>
      </c>
      <c r="E1972" s="10" t="str">
        <f>HYPERLINK("https://twitter.com/cmfanegas/status/1064259820990185473","1064259820990185473")</f>
        <v>1064259820990185473</v>
      </c>
      <c r="F1972" s="17" t="s">
        <v>6809</v>
      </c>
      <c r="G1972" s="12"/>
      <c r="H1972" s="12"/>
      <c r="I1972" s="13">
        <v>0</v>
      </c>
      <c r="J1972" s="13">
        <v>0</v>
      </c>
      <c r="K1972" s="14" t="str">
        <f t="shared" ref="K1972:K1975" si="370">HYPERLINK("http://twitter.com/download/android","Twitter for Android")</f>
        <v>Twitter for Android</v>
      </c>
      <c r="L1972" s="13">
        <v>25</v>
      </c>
      <c r="M1972" s="13">
        <v>95</v>
      </c>
      <c r="N1972" s="13">
        <v>2</v>
      </c>
      <c r="O1972" s="15"/>
      <c r="P1972" s="6">
        <v>41330.353576388887</v>
      </c>
      <c r="Q1972" s="12"/>
      <c r="R1972" s="18"/>
      <c r="S1972" s="12"/>
      <c r="T1972" s="12"/>
      <c r="U1972" s="19" t="s">
        <v>368</v>
      </c>
    </row>
    <row r="1973" spans="1:21" ht="30.6">
      <c r="A1973" s="6">
        <v>43422.533009259263</v>
      </c>
      <c r="B1973" s="7" t="str">
        <f>HYPERLINK("https://twitter.com/maestrotonino","@maestrotonino")</f>
        <v>@maestrotonino</v>
      </c>
      <c r="C1973" s="8" t="s">
        <v>6810</v>
      </c>
      <c r="D1973" s="9" t="s">
        <v>6811</v>
      </c>
      <c r="E1973" s="10" t="str">
        <f>HYPERLINK("https://twitter.com/maestrotonino/status/1064258828315893760","1064258828315893760")</f>
        <v>1064258828315893760</v>
      </c>
      <c r="F1973" s="12"/>
      <c r="G1973" s="12"/>
      <c r="H1973" s="12"/>
      <c r="I1973" s="13">
        <v>1</v>
      </c>
      <c r="J1973" s="13">
        <v>2</v>
      </c>
      <c r="K1973" s="14" t="str">
        <f t="shared" si="370"/>
        <v>Twitter for Android</v>
      </c>
      <c r="L1973" s="13">
        <v>3322</v>
      </c>
      <c r="M1973" s="13">
        <v>2533</v>
      </c>
      <c r="N1973" s="13">
        <v>126</v>
      </c>
      <c r="O1973" s="15"/>
      <c r="P1973" s="6">
        <v>40440.580196759256</v>
      </c>
      <c r="Q1973" s="17" t="s">
        <v>6812</v>
      </c>
      <c r="R1973" s="16" t="s">
        <v>6813</v>
      </c>
      <c r="S1973" s="12"/>
      <c r="T1973" s="12"/>
      <c r="U1973" s="10" t="str">
        <f>HYPERLINK("https://pbs.twimg.com/profile_images/528474694605754370/fGS25bhw.jpeg","View")</f>
        <v>View</v>
      </c>
    </row>
    <row r="1974" spans="1:21" ht="30.6">
      <c r="A1974" s="6">
        <v>43422.530335648145</v>
      </c>
      <c r="B1974" s="7" t="str">
        <f>HYPERLINK("https://twitter.com/historiaycomic","@historiaycomic")</f>
        <v>@historiaycomic</v>
      </c>
      <c r="C1974" s="8" t="s">
        <v>6814</v>
      </c>
      <c r="D1974" s="9" t="s">
        <v>6815</v>
      </c>
      <c r="E1974" s="10" t="str">
        <f>HYPERLINK("https://twitter.com/historiaycomic/status/1064257858710179841","1064257858710179841")</f>
        <v>1064257858710179841</v>
      </c>
      <c r="F1974" s="11" t="s">
        <v>5997</v>
      </c>
      <c r="G1974" s="12"/>
      <c r="H1974" s="12"/>
      <c r="I1974" s="13">
        <v>0</v>
      </c>
      <c r="J1974" s="13">
        <v>0</v>
      </c>
      <c r="K1974" s="14" t="str">
        <f t="shared" si="370"/>
        <v>Twitter for Android</v>
      </c>
      <c r="L1974" s="13">
        <v>1414</v>
      </c>
      <c r="M1974" s="13">
        <v>768</v>
      </c>
      <c r="N1974" s="13">
        <v>105</v>
      </c>
      <c r="O1974" s="15"/>
      <c r="P1974" s="6">
        <v>41166.504895833335</v>
      </c>
      <c r="Q1974" s="17" t="s">
        <v>6816</v>
      </c>
      <c r="R1974" s="16" t="s">
        <v>6817</v>
      </c>
      <c r="S1974" s="11" t="s">
        <v>6818</v>
      </c>
      <c r="T1974" s="12"/>
      <c r="U1974" s="10" t="str">
        <f>HYPERLINK("https://pbs.twimg.com/profile_images/1012996002398253056/tiNkFBeo.jpg","View")</f>
        <v>View</v>
      </c>
    </row>
    <row r="1975" spans="1:21" ht="51">
      <c r="A1975" s="6">
        <v>43422.529861111107</v>
      </c>
      <c r="B1975" s="7" t="str">
        <f>HYPERLINK("https://twitter.com/JC_C_A","@JC_C_A")</f>
        <v>@JC_C_A</v>
      </c>
      <c r="C1975" s="8" t="s">
        <v>161</v>
      </c>
      <c r="D1975" s="9" t="s">
        <v>6819</v>
      </c>
      <c r="E1975" s="10" t="str">
        <f>HYPERLINK("https://twitter.com/JC_C_A/status/1064257688786403329","1064257688786403329")</f>
        <v>1064257688786403329</v>
      </c>
      <c r="F1975" s="12"/>
      <c r="G1975" s="12"/>
      <c r="H1975" s="12"/>
      <c r="I1975" s="13">
        <v>1</v>
      </c>
      <c r="J1975" s="13">
        <v>1</v>
      </c>
      <c r="K1975" s="14" t="str">
        <f t="shared" si="370"/>
        <v>Twitter for Android</v>
      </c>
      <c r="L1975" s="13">
        <v>1491</v>
      </c>
      <c r="M1975" s="13">
        <v>1218</v>
      </c>
      <c r="N1975" s="13">
        <v>4</v>
      </c>
      <c r="O1975" s="15"/>
      <c r="P1975" s="6">
        <v>43055.56385416667</v>
      </c>
      <c r="Q1975" s="17" t="s">
        <v>163</v>
      </c>
      <c r="R1975" s="16" t="s">
        <v>164</v>
      </c>
      <c r="S1975" s="12"/>
      <c r="T1975" s="12"/>
      <c r="U1975" s="10" t="str">
        <f>HYPERLINK("https://pbs.twimg.com/profile_images/1029775179520647169/gj_YgLkP.jpg","View")</f>
        <v>View</v>
      </c>
    </row>
    <row r="1976" spans="1:21" ht="30.6">
      <c r="A1976" s="6">
        <v>43422.528900462959</v>
      </c>
      <c r="B1976" s="7" t="str">
        <f>HYPERLINK("https://twitter.com/Llomismo","@Llomismo")</f>
        <v>@Llomismo</v>
      </c>
      <c r="C1976" s="8" t="s">
        <v>6820</v>
      </c>
      <c r="D1976" s="9" t="s">
        <v>6821</v>
      </c>
      <c r="E1976" s="10" t="str">
        <f>HYPERLINK("https://twitter.com/Llomismo/status/1064257341703577600","1064257341703577600")</f>
        <v>1064257341703577600</v>
      </c>
      <c r="F1976" s="11" t="s">
        <v>6822</v>
      </c>
      <c r="G1976" s="12"/>
      <c r="H1976" s="12"/>
      <c r="I1976" s="13">
        <v>0</v>
      </c>
      <c r="J1976" s="13">
        <v>1</v>
      </c>
      <c r="K1976" s="14" t="str">
        <f t="shared" ref="K1976:K1977" si="371">HYPERLINK("http://twitter.com","Twitter Web Client")</f>
        <v>Twitter Web Client</v>
      </c>
      <c r="L1976" s="13">
        <v>97</v>
      </c>
      <c r="M1976" s="13">
        <v>257</v>
      </c>
      <c r="N1976" s="13">
        <v>9</v>
      </c>
      <c r="O1976" s="15"/>
      <c r="P1976" s="6">
        <v>40100.289942129632</v>
      </c>
      <c r="Q1976" s="17" t="s">
        <v>6823</v>
      </c>
      <c r="R1976" s="16" t="s">
        <v>6824</v>
      </c>
      <c r="S1976" s="11" t="s">
        <v>6825</v>
      </c>
      <c r="T1976" s="12"/>
      <c r="U1976" s="10" t="str">
        <f>HYPERLINK("https://pbs.twimg.com/profile_images/1009033624790986752/WR8Q1aG0.jpg","View")</f>
        <v>View</v>
      </c>
    </row>
    <row r="1977" spans="1:21" ht="20.399999999999999">
      <c r="A1977" s="6">
        <v>43422.525706018518</v>
      </c>
      <c r="B1977" s="7" t="str">
        <f>HYPERLINK("https://twitter.com/DonMitxel_VI","@DonMitxel_VI")</f>
        <v>@DonMitxel_VI</v>
      </c>
      <c r="C1977" s="8" t="s">
        <v>6826</v>
      </c>
      <c r="D1977" s="9" t="s">
        <v>6827</v>
      </c>
      <c r="E1977" s="10" t="str">
        <f>HYPERLINK("https://twitter.com/DonMitxel_VI/status/1064256180497858560","1064256180497858560")</f>
        <v>1064256180497858560</v>
      </c>
      <c r="F1977" s="12"/>
      <c r="G1977" s="12"/>
      <c r="H1977" s="12"/>
      <c r="I1977" s="13">
        <v>7</v>
      </c>
      <c r="J1977" s="13">
        <v>15</v>
      </c>
      <c r="K1977" s="14" t="str">
        <f t="shared" si="371"/>
        <v>Twitter Web Client</v>
      </c>
      <c r="L1977" s="13">
        <v>17461</v>
      </c>
      <c r="M1977" s="13">
        <v>3362</v>
      </c>
      <c r="N1977" s="13">
        <v>215</v>
      </c>
      <c r="O1977" s="15"/>
      <c r="P1977" s="6">
        <v>40728.236493055556</v>
      </c>
      <c r="Q1977" s="17" t="s">
        <v>6828</v>
      </c>
      <c r="R1977" s="16" t="s">
        <v>6829</v>
      </c>
      <c r="S1977" s="12"/>
      <c r="T1977" s="12"/>
      <c r="U1977" s="10" t="str">
        <f>HYPERLINK("https://pbs.twimg.com/profile_images/1827119712/calimero.jpg","View")</f>
        <v>View</v>
      </c>
    </row>
    <row r="1978" spans="1:21" ht="40.799999999999997">
      <c r="A1978" s="6">
        <v>43422.525312500002</v>
      </c>
      <c r="B1978" s="7" t="str">
        <f>HYPERLINK("https://twitter.com/Moonshadow2020","@Moonshadow2020")</f>
        <v>@Moonshadow2020</v>
      </c>
      <c r="C1978" s="8" t="s">
        <v>6830</v>
      </c>
      <c r="D1978" s="9" t="s">
        <v>6831</v>
      </c>
      <c r="E1978" s="10" t="str">
        <f>HYPERLINK("https://twitter.com/Moonshadow2020/status/1064256039552499714","1064256039552499714")</f>
        <v>1064256039552499714</v>
      </c>
      <c r="F1978" s="12"/>
      <c r="G1978" s="12"/>
      <c r="H1978" s="12"/>
      <c r="I1978" s="13">
        <v>11</v>
      </c>
      <c r="J1978" s="13">
        <v>19</v>
      </c>
      <c r="K1978" s="14" t="str">
        <f>HYPERLINK("http://twitter.com/download/android","Twitter for Android")</f>
        <v>Twitter for Android</v>
      </c>
      <c r="L1978" s="13">
        <v>1924</v>
      </c>
      <c r="M1978" s="13">
        <v>4070</v>
      </c>
      <c r="N1978" s="13">
        <v>3</v>
      </c>
      <c r="O1978" s="15"/>
      <c r="P1978" s="6">
        <v>40483.547476851854</v>
      </c>
      <c r="Q1978" s="17" t="s">
        <v>6832</v>
      </c>
      <c r="R1978" s="16" t="s">
        <v>6833</v>
      </c>
      <c r="S1978" s="12"/>
      <c r="T1978" s="12"/>
      <c r="U1978" s="10" t="str">
        <f>HYPERLINK("https://pbs.twimg.com/profile_images/1048666088786018304/blW9bV8W.jpg","View")</f>
        <v>View</v>
      </c>
    </row>
    <row r="1979" spans="1:21" ht="30.6">
      <c r="A1979" s="6">
        <v>43422.524942129632</v>
      </c>
      <c r="B1979" s="7" t="str">
        <f>HYPERLINK("https://twitter.com/nolyrivas","@nolyrivas")</f>
        <v>@nolyrivas</v>
      </c>
      <c r="C1979" s="8" t="s">
        <v>6834</v>
      </c>
      <c r="D1979" s="9" t="s">
        <v>6835</v>
      </c>
      <c r="E1979" s="10" t="str">
        <f>HYPERLINK("https://twitter.com/nolyrivas/status/1064255904231710726","1064255904231710726")</f>
        <v>1064255904231710726</v>
      </c>
      <c r="F1979" s="12"/>
      <c r="G1979" s="12"/>
      <c r="H1979" s="12"/>
      <c r="I1979" s="13">
        <v>1</v>
      </c>
      <c r="J1979" s="13">
        <v>1</v>
      </c>
      <c r="K1979" s="14" t="str">
        <f t="shared" ref="K1979:K1980" si="372">HYPERLINK("http://twitter.com/download/iphone","Twitter for iPhone")</f>
        <v>Twitter for iPhone</v>
      </c>
      <c r="L1979" s="13">
        <v>1453</v>
      </c>
      <c r="M1979" s="13">
        <v>2000</v>
      </c>
      <c r="N1979" s="13">
        <v>18</v>
      </c>
      <c r="O1979" s="15"/>
      <c r="P1979" s="6">
        <v>40239.206203703703</v>
      </c>
      <c r="Q1979" s="12"/>
      <c r="R1979" s="16" t="s">
        <v>6836</v>
      </c>
      <c r="S1979" s="12"/>
      <c r="T1979" s="12"/>
      <c r="U1979" s="10" t="str">
        <f>HYPERLINK("https://pbs.twimg.com/profile_images/937230617611309056/mbPdVY0Q.jpg","View")</f>
        <v>View</v>
      </c>
    </row>
    <row r="1980" spans="1:21" ht="61.2">
      <c r="A1980" s="6">
        <v>43422.523900462962</v>
      </c>
      <c r="B1980" s="7" t="str">
        <f>HYPERLINK("https://twitter.com/MundoBurbu","@MundoBurbu")</f>
        <v>@MundoBurbu</v>
      </c>
      <c r="C1980" s="8" t="s">
        <v>6837</v>
      </c>
      <c r="D1980" s="9" t="s">
        <v>6838</v>
      </c>
      <c r="E1980" s="10" t="str">
        <f>HYPERLINK("https://twitter.com/MundoBurbu/status/1064255527805509632","1064255527805509632")</f>
        <v>1064255527805509632</v>
      </c>
      <c r="F1980" s="11" t="s">
        <v>5117</v>
      </c>
      <c r="G1980" s="11" t="s">
        <v>5118</v>
      </c>
      <c r="H1980" s="12"/>
      <c r="I1980" s="13">
        <v>124</v>
      </c>
      <c r="J1980" s="13">
        <v>352</v>
      </c>
      <c r="K1980" s="14" t="str">
        <f t="shared" si="372"/>
        <v>Twitter for iPhone</v>
      </c>
      <c r="L1980" s="13">
        <v>4249</v>
      </c>
      <c r="M1980" s="13">
        <v>4987</v>
      </c>
      <c r="N1980" s="13">
        <v>30</v>
      </c>
      <c r="O1980" s="15"/>
      <c r="P1980" s="6">
        <v>40765.115914351853</v>
      </c>
      <c r="Q1980" s="12"/>
      <c r="R1980" s="16" t="s">
        <v>6839</v>
      </c>
      <c r="S1980" s="12"/>
      <c r="T1980" s="12"/>
      <c r="U1980" s="10" t="str">
        <f>HYPERLINK("https://pbs.twimg.com/profile_images/378800000481524744/28454495b32ff0c60ebe9e92126e1027.jpeg","View")</f>
        <v>View</v>
      </c>
    </row>
    <row r="1981" spans="1:21" ht="13.2">
      <c r="A1981" s="6">
        <v>43422.518530092595</v>
      </c>
      <c r="B1981" s="7" t="str">
        <f>HYPERLINK("https://twitter.com/euskalboy","@euskalboy")</f>
        <v>@euskalboy</v>
      </c>
      <c r="C1981" s="8" t="s">
        <v>6840</v>
      </c>
      <c r="D1981" s="9" t="s">
        <v>6841</v>
      </c>
      <c r="E1981" s="10" t="str">
        <f>HYPERLINK("https://twitter.com/euskalboy/status/1064253583904919552","1064253583904919552")</f>
        <v>1064253583904919552</v>
      </c>
      <c r="F1981" s="11" t="s">
        <v>5997</v>
      </c>
      <c r="G1981" s="12"/>
      <c r="H1981" s="12"/>
      <c r="I1981" s="13">
        <v>0</v>
      </c>
      <c r="J1981" s="13">
        <v>0</v>
      </c>
      <c r="K1981" s="14" t="str">
        <f t="shared" ref="K1981:K1982" si="373">HYPERLINK("http://twitter.com/download/android","Twitter for Android")</f>
        <v>Twitter for Android</v>
      </c>
      <c r="L1981" s="13">
        <v>327</v>
      </c>
      <c r="M1981" s="13">
        <v>258</v>
      </c>
      <c r="N1981" s="13">
        <v>9</v>
      </c>
      <c r="O1981" s="15"/>
      <c r="P1981" s="6">
        <v>40682.053368055553</v>
      </c>
      <c r="Q1981" s="17" t="s">
        <v>6842</v>
      </c>
      <c r="R1981" s="16" t="s">
        <v>6843</v>
      </c>
      <c r="S1981" s="12"/>
      <c r="T1981" s="12"/>
      <c r="U1981" s="10" t="str">
        <f>HYPERLINK("https://pbs.twimg.com/profile_images/1063104640030568448/abVcNtRV.jpg","View")</f>
        <v>View</v>
      </c>
    </row>
    <row r="1982" spans="1:21" ht="30.6">
      <c r="A1982" s="6">
        <v>43422.516921296294</v>
      </c>
      <c r="B1982" s="7" t="str">
        <f>HYPERLINK("https://twitter.com/heyitswerbu","@heyitswerbu")</f>
        <v>@heyitswerbu</v>
      </c>
      <c r="C1982" s="8" t="s">
        <v>6844</v>
      </c>
      <c r="D1982" s="9" t="s">
        <v>6845</v>
      </c>
      <c r="E1982" s="10" t="str">
        <f>HYPERLINK("https://twitter.com/heyitswerbu/status/1064252999252488192","1064252999252488192")</f>
        <v>1064252999252488192</v>
      </c>
      <c r="F1982" s="12"/>
      <c r="G1982" s="12"/>
      <c r="H1982" s="12"/>
      <c r="I1982" s="13">
        <v>0</v>
      </c>
      <c r="J1982" s="13">
        <v>0</v>
      </c>
      <c r="K1982" s="14" t="str">
        <f t="shared" si="373"/>
        <v>Twitter for Android</v>
      </c>
      <c r="L1982" s="13">
        <v>63</v>
      </c>
      <c r="M1982" s="13">
        <v>159</v>
      </c>
      <c r="N1982" s="13">
        <v>1</v>
      </c>
      <c r="O1982" s="15"/>
      <c r="P1982" s="6">
        <v>42890.409351851849</v>
      </c>
      <c r="Q1982" s="17" t="s">
        <v>160</v>
      </c>
      <c r="R1982" s="16" t="s">
        <v>6846</v>
      </c>
      <c r="S1982" s="11" t="s">
        <v>6847</v>
      </c>
      <c r="T1982" s="12"/>
      <c r="U1982" s="10" t="str">
        <f>HYPERLINK("https://pbs.twimg.com/profile_images/1052947149388992521/wFQNOerL.jpg","View")</f>
        <v>View</v>
      </c>
    </row>
    <row r="1983" spans="1:21" ht="40.799999999999997">
      <c r="A1983" s="6">
        <v>43422.516099537039</v>
      </c>
      <c r="B1983" s="7" t="str">
        <f>HYPERLINK("https://twitter.com/ManuGey","@ManuGey")</f>
        <v>@ManuGey</v>
      </c>
      <c r="C1983" s="8" t="s">
        <v>6848</v>
      </c>
      <c r="D1983" s="9" t="s">
        <v>6849</v>
      </c>
      <c r="E1983" s="10" t="str">
        <f>HYPERLINK("https://twitter.com/ManuGey/status/1064252702648147970","1064252702648147970")</f>
        <v>1064252702648147970</v>
      </c>
      <c r="F1983" s="12"/>
      <c r="G1983" s="12"/>
      <c r="H1983" s="12"/>
      <c r="I1983" s="13">
        <v>1</v>
      </c>
      <c r="J1983" s="13">
        <v>1</v>
      </c>
      <c r="K1983" s="14" t="str">
        <f>HYPERLINK("http://twitter.com/download/iphone","Twitter for iPhone")</f>
        <v>Twitter for iPhone</v>
      </c>
      <c r="L1983" s="13">
        <v>2329</v>
      </c>
      <c r="M1983" s="13">
        <v>1489</v>
      </c>
      <c r="N1983" s="13">
        <v>34</v>
      </c>
      <c r="O1983" s="15"/>
      <c r="P1983" s="6">
        <v>40587.332905092597</v>
      </c>
      <c r="Q1983" s="17" t="s">
        <v>76</v>
      </c>
      <c r="R1983" s="16" t="s">
        <v>6850</v>
      </c>
      <c r="S1983" s="11" t="s">
        <v>6851</v>
      </c>
      <c r="T1983" s="12"/>
      <c r="U1983" s="10" t="str">
        <f>HYPERLINK("https://pbs.twimg.com/profile_images/993281241385488384/1ZmX430Y.jpg","View")</f>
        <v>View</v>
      </c>
    </row>
    <row r="1984" spans="1:21" ht="30.6">
      <c r="A1984" s="6">
        <v>43422.514525462961</v>
      </c>
      <c r="B1984" s="7" t="str">
        <f>HYPERLINK("https://twitter.com/p_rodri","@p_rodri")</f>
        <v>@p_rodri</v>
      </c>
      <c r="C1984" s="8" t="s">
        <v>6852</v>
      </c>
      <c r="D1984" s="9" t="s">
        <v>6853</v>
      </c>
      <c r="E1984" s="10" t="str">
        <f>HYPERLINK("https://twitter.com/p_rodri/status/1064252131497119745","1064252131497119745")</f>
        <v>1064252131497119745</v>
      </c>
      <c r="F1984" s="12"/>
      <c r="G1984" s="12"/>
      <c r="H1984" s="12"/>
      <c r="I1984" s="13">
        <v>1</v>
      </c>
      <c r="J1984" s="13">
        <v>2</v>
      </c>
      <c r="K1984" s="14" t="str">
        <f>HYPERLINK("http://twitter.com/download/android","Twitter for Android")</f>
        <v>Twitter for Android</v>
      </c>
      <c r="L1984" s="13">
        <v>729</v>
      </c>
      <c r="M1984" s="13">
        <v>524</v>
      </c>
      <c r="N1984" s="13">
        <v>13</v>
      </c>
      <c r="O1984" s="15"/>
      <c r="P1984" s="6">
        <v>40624.34993055556</v>
      </c>
      <c r="Q1984" s="17" t="s">
        <v>6854</v>
      </c>
      <c r="R1984" s="16" t="s">
        <v>6855</v>
      </c>
      <c r="S1984" s="12"/>
      <c r="T1984" s="12"/>
      <c r="U1984" s="10" t="str">
        <f>HYPERLINK("https://pbs.twimg.com/profile_images/734474014949838854/I2oHcK1I.jpg","View")</f>
        <v>View</v>
      </c>
    </row>
    <row r="1985" spans="1:21" ht="20.399999999999999">
      <c r="A1985" s="6">
        <v>43422.514421296291</v>
      </c>
      <c r="B1985" s="7" t="str">
        <f>HYPERLINK("https://twitter.com/TheAverse","@TheAverse")</f>
        <v>@TheAverse</v>
      </c>
      <c r="C1985" s="8" t="s">
        <v>6856</v>
      </c>
      <c r="D1985" s="9" t="s">
        <v>6857</v>
      </c>
      <c r="E1985" s="10" t="str">
        <f>HYPERLINK("https://twitter.com/TheAverse/status/1064252091114364933","1064252091114364933")</f>
        <v>1064252091114364933</v>
      </c>
      <c r="F1985" s="12"/>
      <c r="G1985" s="12"/>
      <c r="H1985" s="12"/>
      <c r="I1985" s="13">
        <v>0</v>
      </c>
      <c r="J1985" s="13">
        <v>1</v>
      </c>
      <c r="K1985" s="14" t="str">
        <f t="shared" ref="K1985:K1987" si="374">HYPERLINK("http://twitter.com/download/iphone","Twitter for iPhone")</f>
        <v>Twitter for iPhone</v>
      </c>
      <c r="L1985" s="13">
        <v>476</v>
      </c>
      <c r="M1985" s="13">
        <v>439</v>
      </c>
      <c r="N1985" s="13">
        <v>2</v>
      </c>
      <c r="O1985" s="15"/>
      <c r="P1985" s="6">
        <v>43037.603148148148</v>
      </c>
      <c r="Q1985" s="12"/>
      <c r="R1985" s="16" t="s">
        <v>6858</v>
      </c>
      <c r="S1985" s="11" t="s">
        <v>6859</v>
      </c>
      <c r="T1985" s="12"/>
      <c r="U1985" s="10" t="str">
        <f>HYPERLINK("https://pbs.twimg.com/profile_images/1064818826167099399/kQJrBUQX.jpg","View")</f>
        <v>View</v>
      </c>
    </row>
    <row r="1986" spans="1:21" ht="71.400000000000006">
      <c r="A1986" s="6">
        <v>43422.513113425928</v>
      </c>
      <c r="B1986" s="7" t="str">
        <f>HYPERLINK("https://twitter.com/_EugenioMF","@_EugenioMF")</f>
        <v>@_EugenioMF</v>
      </c>
      <c r="C1986" s="8" t="s">
        <v>6860</v>
      </c>
      <c r="D1986" s="9" t="s">
        <v>6861</v>
      </c>
      <c r="E1986" s="10" t="str">
        <f>HYPERLINK("https://twitter.com/_EugenioMF/status/1064251619435520001","1064251619435520001")</f>
        <v>1064251619435520001</v>
      </c>
      <c r="F1986" s="17" t="s">
        <v>6087</v>
      </c>
      <c r="G1986" s="12"/>
      <c r="H1986" s="12"/>
      <c r="I1986" s="13">
        <v>0</v>
      </c>
      <c r="J1986" s="13">
        <v>0</v>
      </c>
      <c r="K1986" s="14" t="str">
        <f t="shared" si="374"/>
        <v>Twitter for iPhone</v>
      </c>
      <c r="L1986" s="13">
        <v>229</v>
      </c>
      <c r="M1986" s="13">
        <v>137</v>
      </c>
      <c r="N1986" s="13">
        <v>2</v>
      </c>
      <c r="O1986" s="15"/>
      <c r="P1986" s="6">
        <v>41802.527349537035</v>
      </c>
      <c r="Q1986" s="17" t="s">
        <v>550</v>
      </c>
      <c r="R1986" s="16" t="s">
        <v>6862</v>
      </c>
      <c r="S1986" s="11" t="s">
        <v>6863</v>
      </c>
      <c r="T1986" s="12"/>
      <c r="U1986" s="10" t="str">
        <f>HYPERLINK("https://pbs.twimg.com/profile_images/1063406537765502976/svpZw3-9.jpg","View")</f>
        <v>View</v>
      </c>
    </row>
    <row r="1987" spans="1:21" ht="40.799999999999997">
      <c r="A1987" s="6">
        <v>43422.51289351852</v>
      </c>
      <c r="B1987" s="7" t="str">
        <f>HYPERLINK("https://twitter.com/nohisocdiguim","@nohisocdiguim")</f>
        <v>@nohisocdiguim</v>
      </c>
      <c r="C1987" s="8" t="s">
        <v>6864</v>
      </c>
      <c r="D1987" s="9" t="s">
        <v>6865</v>
      </c>
      <c r="E1987" s="10" t="str">
        <f>HYPERLINK("https://twitter.com/nohisocdiguim/status/1064251540733599746","1064251540733599746")</f>
        <v>1064251540733599746</v>
      </c>
      <c r="F1987" s="12"/>
      <c r="G1987" s="12"/>
      <c r="H1987" s="12"/>
      <c r="I1987" s="13">
        <v>0</v>
      </c>
      <c r="J1987" s="13">
        <v>0</v>
      </c>
      <c r="K1987" s="14" t="str">
        <f t="shared" si="374"/>
        <v>Twitter for iPhone</v>
      </c>
      <c r="L1987" s="13">
        <v>10</v>
      </c>
      <c r="M1987" s="13">
        <v>43</v>
      </c>
      <c r="N1987" s="13">
        <v>0</v>
      </c>
      <c r="O1987" s="15"/>
      <c r="P1987" s="6">
        <v>43241.479131944448</v>
      </c>
      <c r="Q1987" s="12"/>
      <c r="R1987" s="18"/>
      <c r="S1987" s="12"/>
      <c r="T1987" s="12"/>
      <c r="U1987" s="10" t="str">
        <f>HYPERLINK("https://pbs.twimg.com/profile_images/1001161279392964608/LpGpRIOt.jpg","View")</f>
        <v>View</v>
      </c>
    </row>
    <row r="1988" spans="1:21" ht="30.6">
      <c r="A1988" s="6">
        <v>43422.512291666666</v>
      </c>
      <c r="B1988" s="7" t="str">
        <f>HYPERLINK("https://twitter.com/ontibe","@ontibe")</f>
        <v>@ontibe</v>
      </c>
      <c r="C1988" s="8" t="s">
        <v>2275</v>
      </c>
      <c r="D1988" s="9" t="s">
        <v>4850</v>
      </c>
      <c r="E1988" s="10" t="str">
        <f>HYPERLINK("https://twitter.com/ontibe/status/1064251319786110978","1064251319786110978")</f>
        <v>1064251319786110978</v>
      </c>
      <c r="F1988" s="11" t="s">
        <v>4851</v>
      </c>
      <c r="G1988" s="12"/>
      <c r="H1988" s="12"/>
      <c r="I1988" s="13">
        <v>0</v>
      </c>
      <c r="J1988" s="13">
        <v>0</v>
      </c>
      <c r="K1988" s="14" t="str">
        <f>HYPERLINK("http://twitter.com","Twitter Web Client")</f>
        <v>Twitter Web Client</v>
      </c>
      <c r="L1988" s="13">
        <v>432</v>
      </c>
      <c r="M1988" s="13">
        <v>1265</v>
      </c>
      <c r="N1988" s="13">
        <v>1</v>
      </c>
      <c r="O1988" s="15"/>
      <c r="P1988" s="6">
        <v>40673.252766203703</v>
      </c>
      <c r="Q1988" s="17" t="s">
        <v>2277</v>
      </c>
      <c r="R1988" s="16" t="s">
        <v>2278</v>
      </c>
      <c r="S1988" s="12"/>
      <c r="T1988" s="12"/>
      <c r="U1988" s="10" t="str">
        <f>HYPERLINK("https://pbs.twimg.com/profile_images/867069058037972993/9c2-Wrp7.jpg","View")</f>
        <v>View</v>
      </c>
    </row>
    <row r="1989" spans="1:21" ht="30.6">
      <c r="A1989" s="6">
        <v>43422.510104166664</v>
      </c>
      <c r="B1989" s="7" t="str">
        <f>HYPERLINK("https://twitter.com/MpuntoRAJOyENB","@MpuntoRAJOyENB")</f>
        <v>@MpuntoRAJOyENB</v>
      </c>
      <c r="C1989" s="8" t="s">
        <v>6866</v>
      </c>
      <c r="D1989" s="9" t="s">
        <v>6867</v>
      </c>
      <c r="E1989" s="10" t="str">
        <f>HYPERLINK("https://twitter.com/MpuntoRAJOyENB/status/1064250528669097985","1064250528669097985")</f>
        <v>1064250528669097985</v>
      </c>
      <c r="F1989" s="11" t="s">
        <v>4961</v>
      </c>
      <c r="G1989" s="12"/>
      <c r="H1989" s="12"/>
      <c r="I1989" s="13">
        <v>0</v>
      </c>
      <c r="J1989" s="13">
        <v>0</v>
      </c>
      <c r="K1989" s="14" t="str">
        <f>HYPERLINK("http://twitter.com/download/android","Twitter for Android")</f>
        <v>Twitter for Android</v>
      </c>
      <c r="L1989" s="13">
        <v>431</v>
      </c>
      <c r="M1989" s="13">
        <v>667</v>
      </c>
      <c r="N1989" s="13">
        <v>1</v>
      </c>
      <c r="O1989" s="15"/>
      <c r="P1989" s="6">
        <v>42882.366203703699</v>
      </c>
      <c r="Q1989" s="17" t="s">
        <v>6868</v>
      </c>
      <c r="R1989" s="16" t="s">
        <v>6869</v>
      </c>
      <c r="S1989" s="11" t="s">
        <v>6870</v>
      </c>
      <c r="T1989" s="12"/>
      <c r="U1989" s="10" t="str">
        <f>HYPERLINK("https://pbs.twimg.com/profile_images/935928823400620032/XXqmvPR0.jpg","View")</f>
        <v>View</v>
      </c>
    </row>
    <row r="1990" spans="1:21" ht="51">
      <c r="A1990" s="6">
        <v>43422.509189814809</v>
      </c>
      <c r="B1990" s="7" t="str">
        <f>HYPERLINK("https://twitter.com/Corsus","@Corsus")</f>
        <v>@Corsus</v>
      </c>
      <c r="C1990" s="8" t="s">
        <v>6871</v>
      </c>
      <c r="D1990" s="9" t="s">
        <v>6872</v>
      </c>
      <c r="E1990" s="10" t="str">
        <f>HYPERLINK("https://twitter.com/Corsus/status/1064250198258581505","1064250198258581505")</f>
        <v>1064250198258581505</v>
      </c>
      <c r="F1990" s="12"/>
      <c r="G1990" s="12"/>
      <c r="H1990" s="12"/>
      <c r="I1990" s="13">
        <v>0</v>
      </c>
      <c r="J1990" s="13">
        <v>0</v>
      </c>
      <c r="K1990" s="14" t="str">
        <f>HYPERLINK("http://twitter.com","Twitter Web Client")</f>
        <v>Twitter Web Client</v>
      </c>
      <c r="L1990" s="13">
        <v>389</v>
      </c>
      <c r="M1990" s="13">
        <v>227</v>
      </c>
      <c r="N1990" s="13">
        <v>10</v>
      </c>
      <c r="O1990" s="15"/>
      <c r="P1990" s="6">
        <v>40291.448877314819</v>
      </c>
      <c r="Q1990" s="12"/>
      <c r="R1990" s="16" t="s">
        <v>6873</v>
      </c>
      <c r="S1990" s="12"/>
      <c r="T1990" s="12"/>
      <c r="U1990" s="10" t="str">
        <f>HYPERLINK("https://pbs.twimg.com/profile_images/2824924150/562009f44bbca7d51295befbdf26d4b3.jpeg","View")</f>
        <v>View</v>
      </c>
    </row>
    <row r="1991" spans="1:21" ht="20.399999999999999">
      <c r="A1991" s="6">
        <v>43422.506944444445</v>
      </c>
      <c r="B1991" s="7" t="str">
        <f t="shared" ref="B1991:B1992" si="375">HYPERLINK("https://twitter.com/pascalgiovanni4","@pascalgiovanni4")</f>
        <v>@pascalgiovanni4</v>
      </c>
      <c r="C1991" s="8" t="s">
        <v>1662</v>
      </c>
      <c r="D1991" s="9" t="s">
        <v>6194</v>
      </c>
      <c r="E1991" s="10" t="str">
        <f>HYPERLINK("https://twitter.com/pascalgiovanni4/status/1064249382697123840","1064249382697123840")</f>
        <v>1064249382697123840</v>
      </c>
      <c r="F1991" s="11" t="s">
        <v>6874</v>
      </c>
      <c r="G1991" s="12"/>
      <c r="H1991" s="12"/>
      <c r="I1991" s="13">
        <v>0</v>
      </c>
      <c r="J1991" s="13">
        <v>0</v>
      </c>
      <c r="K1991" s="14" t="str">
        <f>HYPERLINK("http://www.facebook.com/twitter","Facebook")</f>
        <v>Facebook</v>
      </c>
      <c r="L1991" s="13">
        <v>230</v>
      </c>
      <c r="M1991" s="13">
        <v>878</v>
      </c>
      <c r="N1991" s="13">
        <v>1</v>
      </c>
      <c r="O1991" s="15"/>
      <c r="P1991" s="6">
        <v>42771.341331018513</v>
      </c>
      <c r="Q1991" s="17" t="s">
        <v>1664</v>
      </c>
      <c r="R1991" s="18"/>
      <c r="S1991" s="12"/>
      <c r="T1991" s="12"/>
      <c r="U1991" s="10" t="str">
        <f t="shared" ref="U1991:U1992" si="376">HYPERLINK("https://pbs.twimg.com/profile_images/842758117733683201/c_namZex.jpg","View")</f>
        <v>View</v>
      </c>
    </row>
    <row r="1992" spans="1:21" ht="20.399999999999999">
      <c r="A1992" s="6">
        <v>43422.506828703699</v>
      </c>
      <c r="B1992" s="7" t="str">
        <f t="shared" si="375"/>
        <v>@pascalgiovanni4</v>
      </c>
      <c r="C1992" s="8" t="s">
        <v>1662</v>
      </c>
      <c r="D1992" s="9" t="s">
        <v>6875</v>
      </c>
      <c r="E1992" s="10" t="str">
        <f>HYPERLINK("https://twitter.com/pascalgiovanni4/status/1064249342964498433","1064249342964498433")</f>
        <v>1064249342964498433</v>
      </c>
      <c r="F1992" s="11" t="s">
        <v>3359</v>
      </c>
      <c r="G1992" s="12"/>
      <c r="H1992" s="12"/>
      <c r="I1992" s="13">
        <v>0</v>
      </c>
      <c r="J1992" s="13">
        <v>1</v>
      </c>
      <c r="K1992" s="14" t="str">
        <f t="shared" ref="K1992:K1995" si="377">HYPERLINK("http://twitter.com","Twitter Web Client")</f>
        <v>Twitter Web Client</v>
      </c>
      <c r="L1992" s="13">
        <v>230</v>
      </c>
      <c r="M1992" s="13">
        <v>878</v>
      </c>
      <c r="N1992" s="13">
        <v>1</v>
      </c>
      <c r="O1992" s="15"/>
      <c r="P1992" s="6">
        <v>42771.341331018513</v>
      </c>
      <c r="Q1992" s="17" t="s">
        <v>1664</v>
      </c>
      <c r="R1992" s="18"/>
      <c r="S1992" s="12"/>
      <c r="T1992" s="12"/>
      <c r="U1992" s="10" t="str">
        <f t="shared" si="376"/>
        <v>View</v>
      </c>
    </row>
    <row r="1993" spans="1:21" ht="40.799999999999997">
      <c r="A1993" s="6">
        <v>43422.505104166667</v>
      </c>
      <c r="B1993" s="7" t="str">
        <f>HYPERLINK("https://twitter.com/noticiasgibral1","@noticiasgibral1")</f>
        <v>@noticiasgibral1</v>
      </c>
      <c r="C1993" s="8" t="s">
        <v>65</v>
      </c>
      <c r="D1993" s="9" t="s">
        <v>6876</v>
      </c>
      <c r="E1993" s="10" t="str">
        <f>HYPERLINK("https://twitter.com/noticiasgibral1/status/1064248716641673217","1064248716641673217")</f>
        <v>1064248716641673217</v>
      </c>
      <c r="F1993" s="11" t="s">
        <v>6877</v>
      </c>
      <c r="G1993" s="11" t="s">
        <v>6878</v>
      </c>
      <c r="H1993" s="12"/>
      <c r="I1993" s="13">
        <v>0</v>
      </c>
      <c r="J1993" s="13">
        <v>0</v>
      </c>
      <c r="K1993" s="14" t="str">
        <f t="shared" si="377"/>
        <v>Twitter Web Client</v>
      </c>
      <c r="L1993" s="13">
        <v>113</v>
      </c>
      <c r="M1993" s="13">
        <v>124</v>
      </c>
      <c r="N1993" s="13">
        <v>3</v>
      </c>
      <c r="O1993" s="15"/>
      <c r="P1993" s="6">
        <v>42402.413171296299</v>
      </c>
      <c r="Q1993" s="12"/>
      <c r="R1993" s="18"/>
      <c r="S1993" s="11" t="s">
        <v>70</v>
      </c>
      <c r="T1993" s="12"/>
      <c r="U1993" s="10" t="str">
        <f>HYPERLINK("https://pbs.twimg.com/profile_images/840650616334614529/L434K6iW.jpg","View")</f>
        <v>View</v>
      </c>
    </row>
    <row r="1994" spans="1:21" ht="40.799999999999997">
      <c r="A1994" s="6">
        <v>43422.504837962959</v>
      </c>
      <c r="B1994" s="7" t="str">
        <f>HYPERLINK("https://twitter.com/NachoHernaez_","@NachoHernaez_")</f>
        <v>@NachoHernaez_</v>
      </c>
      <c r="C1994" s="8" t="s">
        <v>6879</v>
      </c>
      <c r="D1994" s="9" t="s">
        <v>6880</v>
      </c>
      <c r="E1994" s="10" t="str">
        <f>HYPERLINK("https://twitter.com/NachoHernaez_/status/1064248621946859522","1064248621946859522")</f>
        <v>1064248621946859522</v>
      </c>
      <c r="F1994" s="11" t="s">
        <v>6881</v>
      </c>
      <c r="G1994" s="12"/>
      <c r="H1994" s="12"/>
      <c r="I1994" s="13">
        <v>1</v>
      </c>
      <c r="J1994" s="13">
        <v>2</v>
      </c>
      <c r="K1994" s="14" t="str">
        <f t="shared" si="377"/>
        <v>Twitter Web Client</v>
      </c>
      <c r="L1994" s="13">
        <v>113</v>
      </c>
      <c r="M1994" s="13">
        <v>557</v>
      </c>
      <c r="N1994" s="13">
        <v>2</v>
      </c>
      <c r="O1994" s="15"/>
      <c r="P1994" s="6">
        <v>42920.284050925926</v>
      </c>
      <c r="Q1994" s="17" t="s">
        <v>6882</v>
      </c>
      <c r="R1994" s="16" t="s">
        <v>6883</v>
      </c>
      <c r="S1994" s="12"/>
      <c r="T1994" s="12"/>
      <c r="U1994" s="10" t="str">
        <f>HYPERLINK("https://pbs.twimg.com/profile_images/1038097170308759554/uCJxBRCX.jpg","View")</f>
        <v>View</v>
      </c>
    </row>
    <row r="1995" spans="1:21" ht="51">
      <c r="A1995" s="6">
        <v>43422.504120370373</v>
      </c>
      <c r="B1995" s="7" t="str">
        <f>HYPERLINK("https://twitter.com/Aixinetas","@Aixinetas")</f>
        <v>@Aixinetas</v>
      </c>
      <c r="C1995" s="8" t="s">
        <v>6755</v>
      </c>
      <c r="D1995" s="9" t="s">
        <v>6884</v>
      </c>
      <c r="E1995" s="10" t="str">
        <f>HYPERLINK("https://twitter.com/Aixinetas/status/1064248358775197697","1064248358775197697")</f>
        <v>1064248358775197697</v>
      </c>
      <c r="F1995" s="11" t="s">
        <v>6701</v>
      </c>
      <c r="G1995" s="12"/>
      <c r="H1995" s="12"/>
      <c r="I1995" s="13">
        <v>1</v>
      </c>
      <c r="J1995" s="13">
        <v>1</v>
      </c>
      <c r="K1995" s="14" t="str">
        <f t="shared" si="377"/>
        <v>Twitter Web Client</v>
      </c>
      <c r="L1995" s="13">
        <v>5173</v>
      </c>
      <c r="M1995" s="13">
        <v>3479</v>
      </c>
      <c r="N1995" s="13">
        <v>43</v>
      </c>
      <c r="O1995" s="15"/>
      <c r="P1995" s="6">
        <v>40515.463287037041</v>
      </c>
      <c r="Q1995" s="17" t="s">
        <v>6757</v>
      </c>
      <c r="R1995" s="16" t="s">
        <v>6758</v>
      </c>
      <c r="S1995" s="12"/>
      <c r="T1995" s="12"/>
      <c r="U1995" s="10" t="str">
        <f>HYPERLINK("https://pbs.twimg.com/profile_images/953289321058062336/C3W511jx.jpg","View")</f>
        <v>View</v>
      </c>
    </row>
    <row r="1996" spans="1:21" ht="40.799999999999997">
      <c r="A1996" s="6">
        <v>43422.50304398148</v>
      </c>
      <c r="B1996" s="7" t="str">
        <f>HYPERLINK("https://twitter.com/lizostrotos","@lizostrotos")</f>
        <v>@lizostrotos</v>
      </c>
      <c r="C1996" s="8" t="s">
        <v>6885</v>
      </c>
      <c r="D1996" s="9" t="s">
        <v>6886</v>
      </c>
      <c r="E1996" s="10" t="str">
        <f>HYPERLINK("https://twitter.com/lizostrotos/status/1064247968172265477","1064247968172265477")</f>
        <v>1064247968172265477</v>
      </c>
      <c r="F1996" s="12"/>
      <c r="G1996" s="12"/>
      <c r="H1996" s="12"/>
      <c r="I1996" s="13">
        <v>0</v>
      </c>
      <c r="J1996" s="13">
        <v>0</v>
      </c>
      <c r="K1996" s="14" t="str">
        <f t="shared" ref="K1996:K1997" si="378">HYPERLINK("http://twitter.com/download/android","Twitter for Android")</f>
        <v>Twitter for Android</v>
      </c>
      <c r="L1996" s="13">
        <v>681</v>
      </c>
      <c r="M1996" s="13">
        <v>1286</v>
      </c>
      <c r="N1996" s="13">
        <v>15</v>
      </c>
      <c r="O1996" s="15"/>
      <c r="P1996" s="6">
        <v>41126.079039351855</v>
      </c>
      <c r="Q1996" s="12"/>
      <c r="R1996" s="16" t="s">
        <v>6887</v>
      </c>
      <c r="S1996" s="12"/>
      <c r="T1996" s="12"/>
      <c r="U1996" s="10" t="str">
        <f>HYPERLINK("https://pbs.twimg.com/profile_images/875252563666501632/IZDQiACK.jpg","View")</f>
        <v>View</v>
      </c>
    </row>
    <row r="1997" spans="1:21" ht="40.799999999999997">
      <c r="A1997" s="6">
        <v>43422.502557870372</v>
      </c>
      <c r="B1997" s="7" t="str">
        <f>HYPERLINK("https://twitter.com/Carmonesco","@Carmonesco")</f>
        <v>@Carmonesco</v>
      </c>
      <c r="C1997" s="8" t="s">
        <v>6888</v>
      </c>
      <c r="D1997" s="9" t="s">
        <v>6889</v>
      </c>
      <c r="E1997" s="10" t="str">
        <f>HYPERLINK("https://twitter.com/Carmonesco/status/1064247792762261504","1064247792762261504")</f>
        <v>1064247792762261504</v>
      </c>
      <c r="F1997" s="12"/>
      <c r="G1997" s="12"/>
      <c r="H1997" s="12"/>
      <c r="I1997" s="13">
        <v>0</v>
      </c>
      <c r="J1997" s="13">
        <v>1</v>
      </c>
      <c r="K1997" s="14" t="str">
        <f t="shared" si="378"/>
        <v>Twitter for Android</v>
      </c>
      <c r="L1997" s="13">
        <v>86</v>
      </c>
      <c r="M1997" s="13">
        <v>97</v>
      </c>
      <c r="N1997" s="13">
        <v>0</v>
      </c>
      <c r="O1997" s="15"/>
      <c r="P1997" s="6">
        <v>43044.899826388893</v>
      </c>
      <c r="Q1997" s="17" t="s">
        <v>6890</v>
      </c>
      <c r="R1997" s="16" t="s">
        <v>6891</v>
      </c>
      <c r="S1997" s="12"/>
      <c r="T1997" s="12"/>
      <c r="U1997" s="10" t="str">
        <f>HYPERLINK("https://pbs.twimg.com/profile_images/1062691298447101952/Cx8SGjgB.jpg","View")</f>
        <v>View</v>
      </c>
    </row>
    <row r="1998" spans="1:21" ht="40.799999999999997">
      <c r="A1998" s="6">
        <v>43422.501157407409</v>
      </c>
      <c r="B1998" s="7" t="str">
        <f>HYPERLINK("https://twitter.com/m_gonzalezgcia","@m_gonzalezgcia")</f>
        <v>@m_gonzalezgcia</v>
      </c>
      <c r="C1998" s="8" t="s">
        <v>6892</v>
      </c>
      <c r="D1998" s="9" t="s">
        <v>6893</v>
      </c>
      <c r="E1998" s="10" t="str">
        <f>HYPERLINK("https://twitter.com/m_gonzalezgcia/status/1064247286690136070","1064247286690136070")</f>
        <v>1064247286690136070</v>
      </c>
      <c r="F1998" s="12"/>
      <c r="G1998" s="12"/>
      <c r="H1998" s="12"/>
      <c r="I1998" s="13">
        <v>0</v>
      </c>
      <c r="J1998" s="13">
        <v>0</v>
      </c>
      <c r="K1998" s="14" t="str">
        <f>HYPERLINK("http://twitter.com","Twitter Web Client")</f>
        <v>Twitter Web Client</v>
      </c>
      <c r="L1998" s="13">
        <v>1340</v>
      </c>
      <c r="M1998" s="13">
        <v>411</v>
      </c>
      <c r="N1998" s="13">
        <v>30</v>
      </c>
      <c r="O1998" s="15"/>
      <c r="P1998" s="6">
        <v>40476.468819444446</v>
      </c>
      <c r="Q1998" s="12"/>
      <c r="R1998" s="16" t="s">
        <v>6894</v>
      </c>
      <c r="S1998" s="11" t="s">
        <v>6895</v>
      </c>
      <c r="T1998" s="12"/>
      <c r="U1998" s="10" t="str">
        <f>HYPERLINK("https://pbs.twimg.com/profile_images/503815330733367296/SpnURHEe.jpeg","View")</f>
        <v>View</v>
      </c>
    </row>
    <row r="1999" spans="1:21" ht="51">
      <c r="A1999" s="6">
        <v>43422.500983796301</v>
      </c>
      <c r="B1999" s="7" t="str">
        <f>HYPERLINK("https://twitter.com/davo537","@davo537")</f>
        <v>@davo537</v>
      </c>
      <c r="C1999" s="8" t="s">
        <v>1548</v>
      </c>
      <c r="D1999" s="9" t="s">
        <v>6896</v>
      </c>
      <c r="E1999" s="10" t="str">
        <f>HYPERLINK("https://twitter.com/davo537/status/1064247224606121984","1064247224606121984")</f>
        <v>1064247224606121984</v>
      </c>
      <c r="F1999" s="12"/>
      <c r="G1999" s="12"/>
      <c r="H1999" s="12"/>
      <c r="I1999" s="13">
        <v>50</v>
      </c>
      <c r="J1999" s="13">
        <v>104</v>
      </c>
      <c r="K1999" s="14" t="str">
        <f>HYPERLINK("http://twitter.com/download/android","Twitter for Android")</f>
        <v>Twitter for Android</v>
      </c>
      <c r="L1999" s="13">
        <v>11234</v>
      </c>
      <c r="M1999" s="13">
        <v>664</v>
      </c>
      <c r="N1999" s="13">
        <v>114</v>
      </c>
      <c r="O1999" s="15"/>
      <c r="P1999" s="6">
        <v>40747.974120370374</v>
      </c>
      <c r="Q1999" s="17" t="s">
        <v>1551</v>
      </c>
      <c r="R1999" s="16" t="s">
        <v>1552</v>
      </c>
      <c r="S1999" s="12"/>
      <c r="T1999" s="12"/>
      <c r="U1999" s="10" t="str">
        <f>HYPERLINK("https://pbs.twimg.com/profile_images/770550123378122752/uj7Tp4bC.jpg","View")</f>
        <v>View</v>
      </c>
    </row>
    <row r="2000" spans="1:21" ht="40.799999999999997">
      <c r="A2000" s="6">
        <v>43422.500925925924</v>
      </c>
      <c r="B2000" s="7" t="str">
        <f>HYPERLINK("https://twitter.com/MuyLiberal","@MuyLiberal")</f>
        <v>@MuyLiberal</v>
      </c>
      <c r="C2000" s="8" t="s">
        <v>5028</v>
      </c>
      <c r="D2000" s="9" t="s">
        <v>6897</v>
      </c>
      <c r="E2000" s="10" t="str">
        <f>HYPERLINK("https://twitter.com/MuyLiberal/status/1064247201080197121","1064247201080197121")</f>
        <v>1064247201080197121</v>
      </c>
      <c r="F2000" s="12"/>
      <c r="G2000" s="11" t="s">
        <v>6898</v>
      </c>
      <c r="H2000" s="12"/>
      <c r="I2000" s="13">
        <v>5</v>
      </c>
      <c r="J2000" s="13">
        <v>7</v>
      </c>
      <c r="K2000" s="14" t="str">
        <f>HYPERLINK("http://twitter.com/download/iphone","Twitter for iPhone")</f>
        <v>Twitter for iPhone</v>
      </c>
      <c r="L2000" s="13">
        <v>29339</v>
      </c>
      <c r="M2000" s="13">
        <v>1972</v>
      </c>
      <c r="N2000" s="13">
        <v>238</v>
      </c>
      <c r="O2000" s="19" t="s">
        <v>74</v>
      </c>
      <c r="P2000" s="6">
        <v>41184.409629629634</v>
      </c>
      <c r="Q2000" s="12"/>
      <c r="R2000" s="16" t="s">
        <v>5031</v>
      </c>
      <c r="S2000" s="11" t="s">
        <v>5032</v>
      </c>
      <c r="T2000" s="12"/>
      <c r="U2000" s="10" t="str">
        <f>HYPERLINK("https://pbs.twimg.com/profile_images/1065892129539530753/g638P6sH.jpg","View")</f>
        <v>View</v>
      </c>
    </row>
    <row r="2001" spans="1:21" ht="20.399999999999999">
      <c r="A2001" s="6">
        <v>43422.499062499999</v>
      </c>
      <c r="B2001" s="7" t="str">
        <f>HYPERLINK("https://twitter.com/umh1194","@umh1194")</f>
        <v>@umh1194</v>
      </c>
      <c r="C2001" s="8" t="s">
        <v>6899</v>
      </c>
      <c r="D2001" s="9" t="s">
        <v>6900</v>
      </c>
      <c r="E2001" s="10" t="str">
        <f>HYPERLINK("https://twitter.com/umh1194/status/1064246526397026305","1064246526397026305")</f>
        <v>1064246526397026305</v>
      </c>
      <c r="F2001" s="11" t="s">
        <v>5997</v>
      </c>
      <c r="G2001" s="12"/>
      <c r="H2001" s="12"/>
      <c r="I2001" s="13">
        <v>1</v>
      </c>
      <c r="J2001" s="13">
        <v>1</v>
      </c>
      <c r="K2001" s="14" t="str">
        <f t="shared" ref="K2001:K2003" si="379">HYPERLINK("http://twitter.com/download/android","Twitter for Android")</f>
        <v>Twitter for Android</v>
      </c>
      <c r="L2001" s="13">
        <v>72</v>
      </c>
      <c r="M2001" s="13">
        <v>81</v>
      </c>
      <c r="N2001" s="13">
        <v>0</v>
      </c>
      <c r="O2001" s="15"/>
      <c r="P2001" s="6">
        <v>41691.05395833333</v>
      </c>
      <c r="Q2001" s="17" t="s">
        <v>6901</v>
      </c>
      <c r="R2001" s="16" t="s">
        <v>6902</v>
      </c>
      <c r="S2001" s="11" t="s">
        <v>6903</v>
      </c>
      <c r="T2001" s="12"/>
      <c r="U2001" s="10" t="str">
        <f>HYPERLINK("https://pbs.twimg.com/profile_images/923585643019735041/hMlWplED.jpg","View")</f>
        <v>View</v>
      </c>
    </row>
    <row r="2002" spans="1:21" ht="40.799999999999997">
      <c r="A2002" s="6">
        <v>43422.498124999998</v>
      </c>
      <c r="B2002" s="7" t="str">
        <f>HYPERLINK("https://twitter.com/cayeruby","@cayeruby")</f>
        <v>@cayeruby</v>
      </c>
      <c r="C2002" s="8" t="s">
        <v>1884</v>
      </c>
      <c r="D2002" s="9" t="s">
        <v>6904</v>
      </c>
      <c r="E2002" s="10" t="str">
        <f>HYPERLINK("https://twitter.com/cayeruby/status/1064246187320991744","1064246187320991744")</f>
        <v>1064246187320991744</v>
      </c>
      <c r="F2002" s="12"/>
      <c r="G2002" s="12"/>
      <c r="H2002" s="12"/>
      <c r="I2002" s="13">
        <v>267</v>
      </c>
      <c r="J2002" s="13">
        <v>452</v>
      </c>
      <c r="K2002" s="14" t="str">
        <f t="shared" si="379"/>
        <v>Twitter for Android</v>
      </c>
      <c r="L2002" s="13">
        <v>29565</v>
      </c>
      <c r="M2002" s="13">
        <v>19563</v>
      </c>
      <c r="N2002" s="13">
        <v>191</v>
      </c>
      <c r="O2002" s="15"/>
      <c r="P2002" s="6">
        <v>41315.750416666662</v>
      </c>
      <c r="Q2002" s="17" t="s">
        <v>1886</v>
      </c>
      <c r="R2002" s="16" t="s">
        <v>1887</v>
      </c>
      <c r="S2002" s="12"/>
      <c r="T2002" s="12"/>
      <c r="U2002" s="10" t="str">
        <f>HYPERLINK("https://pbs.twimg.com/profile_images/1017740980752146432/Jrrw8PP1.jpg","View")</f>
        <v>View</v>
      </c>
    </row>
    <row r="2003" spans="1:21" ht="30.6">
      <c r="A2003" s="6">
        <v>43422.497835648144</v>
      </c>
      <c r="B2003" s="7" t="str">
        <f>HYPERLINK("https://twitter.com/fromtheTartarus","@fromtheTartarus")</f>
        <v>@fromtheTartarus</v>
      </c>
      <c r="C2003" s="8" t="s">
        <v>2073</v>
      </c>
      <c r="D2003" s="9" t="s">
        <v>6905</v>
      </c>
      <c r="E2003" s="10" t="str">
        <f>HYPERLINK("https://twitter.com/fromtheTartarus/status/1064246082752954369","1064246082752954369")</f>
        <v>1064246082752954369</v>
      </c>
      <c r="F2003" s="12"/>
      <c r="G2003" s="12"/>
      <c r="H2003" s="12"/>
      <c r="I2003" s="13">
        <v>1</v>
      </c>
      <c r="J2003" s="13">
        <v>2</v>
      </c>
      <c r="K2003" s="14" t="str">
        <f t="shared" si="379"/>
        <v>Twitter for Android</v>
      </c>
      <c r="L2003" s="13">
        <v>1317</v>
      </c>
      <c r="M2003" s="13">
        <v>1331</v>
      </c>
      <c r="N2003" s="13">
        <v>0</v>
      </c>
      <c r="O2003" s="15"/>
      <c r="P2003" s="6">
        <v>41490.311990740738</v>
      </c>
      <c r="Q2003" s="12"/>
      <c r="R2003" s="16" t="s">
        <v>2075</v>
      </c>
      <c r="S2003" s="12"/>
      <c r="T2003" s="12"/>
      <c r="U2003" s="10" t="str">
        <f>HYPERLINK("https://pbs.twimg.com/profile_images/1053912689972523008/kZhxHvEO.jpg","View")</f>
        <v>View</v>
      </c>
    </row>
    <row r="2004" spans="1:21" ht="51">
      <c r="A2004" s="6">
        <v>43422.497743055559</v>
      </c>
      <c r="B2004" s="7" t="str">
        <f>HYPERLINK("https://twitter.com/AtlanticaXXII","@AtlanticaXXII")</f>
        <v>@AtlanticaXXII</v>
      </c>
      <c r="C2004" s="8" t="s">
        <v>6906</v>
      </c>
      <c r="D2004" s="9" t="s">
        <v>6907</v>
      </c>
      <c r="E2004" s="10" t="str">
        <f>HYPERLINK("https://twitter.com/AtlanticaXXII/status/1064246048841973761","1064246048841973761")</f>
        <v>1064246048841973761</v>
      </c>
      <c r="F2004" s="11" t="s">
        <v>6908</v>
      </c>
      <c r="G2004" s="12"/>
      <c r="H2004" s="12"/>
      <c r="I2004" s="13">
        <v>7</v>
      </c>
      <c r="J2004" s="13">
        <v>11</v>
      </c>
      <c r="K2004" s="14" t="str">
        <f>HYPERLINK("http://twitter.com","Twitter Web Client")</f>
        <v>Twitter Web Client</v>
      </c>
      <c r="L2004" s="13">
        <v>2790</v>
      </c>
      <c r="M2004" s="13">
        <v>1448</v>
      </c>
      <c r="N2004" s="13">
        <v>85</v>
      </c>
      <c r="O2004" s="15"/>
      <c r="P2004" s="6">
        <v>40898.641412037039</v>
      </c>
      <c r="Q2004" s="17" t="s">
        <v>3845</v>
      </c>
      <c r="R2004" s="16" t="s">
        <v>6909</v>
      </c>
      <c r="S2004" s="11" t="s">
        <v>6910</v>
      </c>
      <c r="T2004" s="12"/>
      <c r="U2004" s="10" t="str">
        <f>HYPERLINK("https://pbs.twimg.com/profile_images/1059379087247060992/w-UYC9F2.jpg","View")</f>
        <v>View</v>
      </c>
    </row>
    <row r="2005" spans="1:21" ht="13.2">
      <c r="A2005" s="6">
        <v>43422.497546296298</v>
      </c>
      <c r="B2005" s="7" t="str">
        <f>HYPERLINK("https://twitter.com/juanmartinexp","@juanmartinexp")</f>
        <v>@juanmartinexp</v>
      </c>
      <c r="C2005" s="8" t="s">
        <v>6911</v>
      </c>
      <c r="D2005" s="9" t="s">
        <v>6912</v>
      </c>
      <c r="E2005" s="10" t="str">
        <f>HYPERLINK("https://twitter.com/juanmartinexp/status/1064245975953354753","1064245975953354753")</f>
        <v>1064245975953354753</v>
      </c>
      <c r="F2005" s="11" t="s">
        <v>6913</v>
      </c>
      <c r="G2005" s="12"/>
      <c r="H2005" s="12"/>
      <c r="I2005" s="13">
        <v>0</v>
      </c>
      <c r="J2005" s="13">
        <v>0</v>
      </c>
      <c r="K2005" s="14" t="str">
        <f>HYPERLINK("http://twitter.com/download/android","Twitter for Android")</f>
        <v>Twitter for Android</v>
      </c>
      <c r="L2005" s="13">
        <v>3922</v>
      </c>
      <c r="M2005" s="13">
        <v>1752</v>
      </c>
      <c r="N2005" s="13">
        <v>113</v>
      </c>
      <c r="O2005" s="15"/>
      <c r="P2005" s="6">
        <v>40152.624849537038</v>
      </c>
      <c r="Q2005" s="17" t="s">
        <v>6488</v>
      </c>
      <c r="R2005" s="16" t="s">
        <v>6914</v>
      </c>
      <c r="S2005" s="12"/>
      <c r="T2005" s="12"/>
      <c r="U2005" s="10" t="str">
        <f>HYPERLINK("https://pbs.twimg.com/profile_images/988524555764490241/g6Dsulsw.jpg","View")</f>
        <v>View</v>
      </c>
    </row>
    <row r="2006" spans="1:21" ht="51">
      <c r="A2006" s="6">
        <v>43422.497152777782</v>
      </c>
      <c r="B2006" s="7" t="str">
        <f>HYPERLINK("https://twitter.com/jaumovic","@jaumovic")</f>
        <v>@jaumovic</v>
      </c>
      <c r="C2006" s="8" t="s">
        <v>6915</v>
      </c>
      <c r="D2006" s="9" t="s">
        <v>6916</v>
      </c>
      <c r="E2006" s="10" t="str">
        <f>HYPERLINK("https://twitter.com/jaumovic/status/1064245835175727105","1064245835175727105")</f>
        <v>1064245835175727105</v>
      </c>
      <c r="F2006" s="12"/>
      <c r="G2006" s="12"/>
      <c r="H2006" s="12"/>
      <c r="I2006" s="13">
        <v>0</v>
      </c>
      <c r="J2006" s="13">
        <v>0</v>
      </c>
      <c r="K2006" s="14" t="str">
        <f t="shared" ref="K2006:K2010" si="380">HYPERLINK("http://twitter.com","Twitter Web Client")</f>
        <v>Twitter Web Client</v>
      </c>
      <c r="L2006" s="13">
        <v>477</v>
      </c>
      <c r="M2006" s="13">
        <v>663</v>
      </c>
      <c r="N2006" s="13">
        <v>0</v>
      </c>
      <c r="O2006" s="15"/>
      <c r="P2006" s="6">
        <v>40849.151041666664</v>
      </c>
      <c r="Q2006" s="17" t="s">
        <v>6917</v>
      </c>
      <c r="R2006" s="16" t="s">
        <v>6918</v>
      </c>
      <c r="S2006" s="12"/>
      <c r="T2006" s="12"/>
      <c r="U2006" s="10" t="str">
        <f>HYPERLINK("https://pbs.twimg.com/profile_images/1065931375772090368/_n8CbILB.jpg","View")</f>
        <v>View</v>
      </c>
    </row>
    <row r="2007" spans="1:21" ht="30.6">
      <c r="A2007" s="6">
        <v>43422.496736111112</v>
      </c>
      <c r="B2007" s="7" t="str">
        <f>HYPERLINK("https://twitter.com/CONCHA_ZARAGOZA","@CONCHA_ZARAGOZA")</f>
        <v>@CONCHA_ZARAGOZA</v>
      </c>
      <c r="C2007" s="8" t="s">
        <v>6920</v>
      </c>
      <c r="D2007" s="9" t="s">
        <v>6921</v>
      </c>
      <c r="E2007" s="10" t="str">
        <f>HYPERLINK("https://twitter.com/CONCHA_ZARAGOZA/status/1064245683442601984","1064245683442601984")</f>
        <v>1064245683442601984</v>
      </c>
      <c r="F2007" s="12"/>
      <c r="G2007" s="12"/>
      <c r="H2007" s="12"/>
      <c r="I2007" s="13">
        <v>1</v>
      </c>
      <c r="J2007" s="13">
        <v>5</v>
      </c>
      <c r="K2007" s="14" t="str">
        <f t="shared" si="380"/>
        <v>Twitter Web Client</v>
      </c>
      <c r="L2007" s="13">
        <v>2996</v>
      </c>
      <c r="M2007" s="13">
        <v>3363</v>
      </c>
      <c r="N2007" s="13">
        <v>79</v>
      </c>
      <c r="O2007" s="15"/>
      <c r="P2007" s="6">
        <v>40772.616435185184</v>
      </c>
      <c r="Q2007" s="17" t="s">
        <v>6922</v>
      </c>
      <c r="R2007" s="16" t="s">
        <v>6923</v>
      </c>
      <c r="S2007" s="12"/>
      <c r="T2007" s="12"/>
      <c r="U2007" s="10" t="str">
        <f>HYPERLINK("https://pbs.twimg.com/profile_images/881951172659204097/qzahdlGI.jpg","View")</f>
        <v>View</v>
      </c>
    </row>
    <row r="2008" spans="1:21" ht="40.799999999999997">
      <c r="A2008" s="6">
        <v>43422.49428240741</v>
      </c>
      <c r="B2008" s="7" t="str">
        <f>HYPERLINK("https://twitter.com/protestona1","@protestona1")</f>
        <v>@protestona1</v>
      </c>
      <c r="C2008" s="8" t="s">
        <v>1466</v>
      </c>
      <c r="D2008" s="9" t="s">
        <v>6924</v>
      </c>
      <c r="E2008" s="10" t="str">
        <f>HYPERLINK("https://twitter.com/protestona1/status/1064244795957280770","1064244795957280770")</f>
        <v>1064244795957280770</v>
      </c>
      <c r="F2008" s="12"/>
      <c r="G2008" s="12"/>
      <c r="H2008" s="12"/>
      <c r="I2008" s="13">
        <v>116</v>
      </c>
      <c r="J2008" s="13">
        <v>326</v>
      </c>
      <c r="K2008" s="14" t="str">
        <f t="shared" si="380"/>
        <v>Twitter Web Client</v>
      </c>
      <c r="L2008" s="13">
        <v>151543</v>
      </c>
      <c r="M2008" s="13">
        <v>2210</v>
      </c>
      <c r="N2008" s="13">
        <v>4</v>
      </c>
      <c r="O2008" s="15"/>
      <c r="P2008" s="6">
        <v>41352.488032407404</v>
      </c>
      <c r="Q2008" s="17" t="s">
        <v>118</v>
      </c>
      <c r="R2008" s="16" t="s">
        <v>1469</v>
      </c>
      <c r="S2008" s="11" t="s">
        <v>1470</v>
      </c>
      <c r="T2008" s="12"/>
      <c r="U2008" s="10" t="str">
        <f>HYPERLINK("https://pbs.twimg.com/profile_images/1014938895501463552/_oCE6Q1b.jpg","View")</f>
        <v>View</v>
      </c>
    </row>
    <row r="2009" spans="1:21" ht="30.6">
      <c r="A2009" s="6">
        <v>43422.49287037037</v>
      </c>
      <c r="B2009" s="7" t="str">
        <f>HYPERLINK("https://twitter.com/TVGalicia","@TVGalicia")</f>
        <v>@TVGalicia</v>
      </c>
      <c r="C2009" s="8" t="s">
        <v>6925</v>
      </c>
      <c r="D2009" s="9" t="s">
        <v>6926</v>
      </c>
      <c r="E2009" s="10" t="str">
        <f>HYPERLINK("https://twitter.com/TVGalicia/status/1064244284185108480","1064244284185108480")</f>
        <v>1064244284185108480</v>
      </c>
      <c r="F2009" s="11" t="s">
        <v>6927</v>
      </c>
      <c r="G2009" s="11" t="s">
        <v>6928</v>
      </c>
      <c r="H2009" s="12"/>
      <c r="I2009" s="13">
        <v>0</v>
      </c>
      <c r="J2009" s="13">
        <v>2</v>
      </c>
      <c r="K2009" s="14" t="str">
        <f t="shared" si="380"/>
        <v>Twitter Web Client</v>
      </c>
      <c r="L2009" s="13">
        <v>40420</v>
      </c>
      <c r="M2009" s="13">
        <v>693</v>
      </c>
      <c r="N2009" s="13">
        <v>308</v>
      </c>
      <c r="O2009" s="19" t="s">
        <v>74</v>
      </c>
      <c r="P2009" s="6">
        <v>41612.1877662037</v>
      </c>
      <c r="Q2009" s="17" t="s">
        <v>3280</v>
      </c>
      <c r="R2009" s="16" t="s">
        <v>6929</v>
      </c>
      <c r="S2009" s="11" t="s">
        <v>6930</v>
      </c>
      <c r="T2009" s="12"/>
      <c r="U2009" s="10" t="str">
        <f>HYPERLINK("https://pbs.twimg.com/profile_images/697322750914867202/sT5s-mwR.jpg","View")</f>
        <v>View</v>
      </c>
    </row>
    <row r="2010" spans="1:21" ht="30.6">
      <c r="A2010" s="6">
        <v>43422.492719907408</v>
      </c>
      <c r="B2010" s="7" t="str">
        <f>HYPERLINK("https://twitter.com/ontibe","@ontibe")</f>
        <v>@ontibe</v>
      </c>
      <c r="C2010" s="8" t="s">
        <v>2275</v>
      </c>
      <c r="D2010" s="9" t="s">
        <v>6641</v>
      </c>
      <c r="E2010" s="10" t="str">
        <f>HYPERLINK("https://twitter.com/ontibe/status/1064244227259936773","1064244227259936773")</f>
        <v>1064244227259936773</v>
      </c>
      <c r="F2010" s="11" t="s">
        <v>5715</v>
      </c>
      <c r="G2010" s="12"/>
      <c r="H2010" s="12"/>
      <c r="I2010" s="13">
        <v>0</v>
      </c>
      <c r="J2010" s="13">
        <v>0</v>
      </c>
      <c r="K2010" s="14" t="str">
        <f t="shared" si="380"/>
        <v>Twitter Web Client</v>
      </c>
      <c r="L2010" s="13">
        <v>432</v>
      </c>
      <c r="M2010" s="13">
        <v>1265</v>
      </c>
      <c r="N2010" s="13">
        <v>1</v>
      </c>
      <c r="O2010" s="15"/>
      <c r="P2010" s="6">
        <v>40673.252766203703</v>
      </c>
      <c r="Q2010" s="17" t="s">
        <v>2277</v>
      </c>
      <c r="R2010" s="16" t="s">
        <v>2278</v>
      </c>
      <c r="S2010" s="12"/>
      <c r="T2010" s="12"/>
      <c r="U2010" s="10" t="str">
        <f>HYPERLINK("https://pbs.twimg.com/profile_images/867069058037972993/9c2-Wrp7.jpg","View")</f>
        <v>View</v>
      </c>
    </row>
    <row r="2011" spans="1:21" ht="30.6">
      <c r="A2011" s="6">
        <v>43422.489606481482</v>
      </c>
      <c r="B2011" s="7" t="str">
        <f>HYPERLINK("https://twitter.com/eldiarioAnd","@eldiarioAnd")</f>
        <v>@eldiarioAnd</v>
      </c>
      <c r="C2011" s="8" t="s">
        <v>1051</v>
      </c>
      <c r="D2011" s="9" t="s">
        <v>6931</v>
      </c>
      <c r="E2011" s="10" t="str">
        <f>HYPERLINK("https://twitter.com/eldiarioAnd/status/1064243102578352128","1064243102578352128")</f>
        <v>1064243102578352128</v>
      </c>
      <c r="F2011" s="11" t="s">
        <v>5997</v>
      </c>
      <c r="G2011" s="12"/>
      <c r="H2011" s="12"/>
      <c r="I2011" s="13">
        <v>0</v>
      </c>
      <c r="J2011" s="13">
        <v>0</v>
      </c>
      <c r="K2011" s="14" t="str">
        <f>HYPERLINK("https://www.hootsuite.com","Hootsuite Inc.")</f>
        <v>Hootsuite Inc.</v>
      </c>
      <c r="L2011" s="13">
        <v>12757</v>
      </c>
      <c r="M2011" s="13">
        <v>1515</v>
      </c>
      <c r="N2011" s="13">
        <v>463</v>
      </c>
      <c r="O2011" s="15"/>
      <c r="P2011" s="6">
        <v>41303.541689814811</v>
      </c>
      <c r="Q2011" s="17" t="s">
        <v>264</v>
      </c>
      <c r="R2011" s="16" t="s">
        <v>1055</v>
      </c>
      <c r="S2011" s="11" t="s">
        <v>1056</v>
      </c>
      <c r="T2011" s="12"/>
      <c r="U2011" s="10" t="str">
        <f>HYPERLINK("https://pbs.twimg.com/profile_images/576023590258102272/oRB0jI5T.jpeg","View")</f>
        <v>View</v>
      </c>
    </row>
    <row r="2012" spans="1:21" ht="81.599999999999994">
      <c r="A2012" s="6">
        <v>43422.488587962958</v>
      </c>
      <c r="B2012" s="7" t="str">
        <f>HYPERLINK("https://twitter.com/Blayasensat","@Blayasensat")</f>
        <v>@Blayasensat</v>
      </c>
      <c r="C2012" s="8" t="s">
        <v>6932</v>
      </c>
      <c r="D2012" s="9" t="s">
        <v>6933</v>
      </c>
      <c r="E2012" s="10" t="str">
        <f>HYPERLINK("https://twitter.com/Blayasensat/status/1064242731856338950","1064242731856338950")</f>
        <v>1064242731856338950</v>
      </c>
      <c r="F2012" s="11" t="s">
        <v>6934</v>
      </c>
      <c r="G2012" s="12"/>
      <c r="H2012" s="12"/>
      <c r="I2012" s="13">
        <v>0</v>
      </c>
      <c r="J2012" s="13">
        <v>3</v>
      </c>
      <c r="K2012" s="14" t="str">
        <f t="shared" ref="K2012:K2014" si="381">HYPERLINK("http://twitter.com","Twitter Web Client")</f>
        <v>Twitter Web Client</v>
      </c>
      <c r="L2012" s="13">
        <v>527</v>
      </c>
      <c r="M2012" s="13">
        <v>335</v>
      </c>
      <c r="N2012" s="13">
        <v>13</v>
      </c>
      <c r="O2012" s="15"/>
      <c r="P2012" s="6">
        <v>42622.445902777778</v>
      </c>
      <c r="Q2012" s="17" t="s">
        <v>3515</v>
      </c>
      <c r="R2012" s="16" t="s">
        <v>6935</v>
      </c>
      <c r="S2012" s="11" t="s">
        <v>6936</v>
      </c>
      <c r="T2012" s="12"/>
      <c r="U2012" s="10" t="str">
        <f>HYPERLINK("https://pbs.twimg.com/profile_images/1049594760342720513/FEM0-96A.jpg","View")</f>
        <v>View</v>
      </c>
    </row>
    <row r="2013" spans="1:21" ht="40.799999999999997">
      <c r="A2013" s="6">
        <v>43422.486111111109</v>
      </c>
      <c r="B2013" s="7" t="str">
        <f>HYPERLINK("https://twitter.com/ecologistadelno","@ecologistadelno")</f>
        <v>@ecologistadelno</v>
      </c>
      <c r="C2013" s="8" t="s">
        <v>6937</v>
      </c>
      <c r="D2013" s="9" t="s">
        <v>6938</v>
      </c>
      <c r="E2013" s="10" t="str">
        <f>HYPERLINK("https://twitter.com/ecologistadelno/status/1064241833348349952","1064241833348349952")</f>
        <v>1064241833348349952</v>
      </c>
      <c r="F2013" s="11" t="s">
        <v>4961</v>
      </c>
      <c r="G2013" s="11" t="s">
        <v>6939</v>
      </c>
      <c r="H2013" s="12"/>
      <c r="I2013" s="13">
        <v>1</v>
      </c>
      <c r="J2013" s="13">
        <v>1</v>
      </c>
      <c r="K2013" s="14" t="str">
        <f t="shared" si="381"/>
        <v>Twitter Web Client</v>
      </c>
      <c r="L2013" s="13">
        <v>433</v>
      </c>
      <c r="M2013" s="13">
        <v>915</v>
      </c>
      <c r="N2013" s="13">
        <v>27</v>
      </c>
      <c r="O2013" s="15"/>
      <c r="P2013" s="6">
        <v>42053.405706018515</v>
      </c>
      <c r="Q2013" s="17" t="s">
        <v>6940</v>
      </c>
      <c r="R2013" s="16" t="s">
        <v>6941</v>
      </c>
      <c r="S2013" s="12"/>
      <c r="T2013" s="12"/>
      <c r="U2013" s="10" t="str">
        <f>HYPERLINK("https://pbs.twimg.com/profile_images/924699286130102272/GiKkLIuQ.jpg","View")</f>
        <v>View</v>
      </c>
    </row>
    <row r="2014" spans="1:21" ht="40.799999999999997">
      <c r="A2014" s="6">
        <v>43422.482499999998</v>
      </c>
      <c r="B2014" s="7" t="str">
        <f>HYPERLINK("https://twitter.com/Aixinetas","@Aixinetas")</f>
        <v>@Aixinetas</v>
      </c>
      <c r="C2014" s="8" t="s">
        <v>6755</v>
      </c>
      <c r="D2014" s="9" t="s">
        <v>6942</v>
      </c>
      <c r="E2014" s="10" t="str">
        <f>HYPERLINK("https://twitter.com/Aixinetas/status/1064240524775821313","1064240524775821313")</f>
        <v>1064240524775821313</v>
      </c>
      <c r="F2014" s="11" t="s">
        <v>5715</v>
      </c>
      <c r="G2014" s="12"/>
      <c r="H2014" s="12"/>
      <c r="I2014" s="13">
        <v>1</v>
      </c>
      <c r="J2014" s="13">
        <v>0</v>
      </c>
      <c r="K2014" s="14" t="str">
        <f t="shared" si="381"/>
        <v>Twitter Web Client</v>
      </c>
      <c r="L2014" s="13">
        <v>5173</v>
      </c>
      <c r="M2014" s="13">
        <v>3479</v>
      </c>
      <c r="N2014" s="13">
        <v>43</v>
      </c>
      <c r="O2014" s="15"/>
      <c r="P2014" s="6">
        <v>40515.463287037041</v>
      </c>
      <c r="Q2014" s="17" t="s">
        <v>6757</v>
      </c>
      <c r="R2014" s="16" t="s">
        <v>6758</v>
      </c>
      <c r="S2014" s="12"/>
      <c r="T2014" s="12"/>
      <c r="U2014" s="10" t="str">
        <f>HYPERLINK("https://pbs.twimg.com/profile_images/953289321058062336/C3W511jx.jpg","View")</f>
        <v>View</v>
      </c>
    </row>
    <row r="2015" spans="1:21" ht="51">
      <c r="A2015" s="6">
        <v>43422.481238425928</v>
      </c>
      <c r="B2015" s="7" t="str">
        <f>HYPERLINK("https://twitter.com/genlos","@genlos")</f>
        <v>@genlos</v>
      </c>
      <c r="C2015" s="8" t="s">
        <v>6943</v>
      </c>
      <c r="D2015" s="9" t="s">
        <v>6944</v>
      </c>
      <c r="E2015" s="10" t="str">
        <f>HYPERLINK("https://twitter.com/genlos/status/1064240070021062656","1064240070021062656")</f>
        <v>1064240070021062656</v>
      </c>
      <c r="F2015" s="12"/>
      <c r="G2015" s="12"/>
      <c r="H2015" s="12"/>
      <c r="I2015" s="13">
        <v>1</v>
      </c>
      <c r="J2015" s="13">
        <v>0</v>
      </c>
      <c r="K2015" s="14" t="str">
        <f>HYPERLINK("http://twitter.com/download/android","Twitter for Android")</f>
        <v>Twitter for Android</v>
      </c>
      <c r="L2015" s="13">
        <v>62</v>
      </c>
      <c r="M2015" s="13">
        <v>115</v>
      </c>
      <c r="N2015" s="13">
        <v>1</v>
      </c>
      <c r="O2015" s="15"/>
      <c r="P2015" s="6">
        <v>40589.065775462965</v>
      </c>
      <c r="Q2015" s="17" t="s">
        <v>6945</v>
      </c>
      <c r="R2015" s="16" t="s">
        <v>6946</v>
      </c>
      <c r="S2015" s="12"/>
      <c r="T2015" s="12"/>
      <c r="U2015" s="10" t="str">
        <f>HYPERLINK("https://pbs.twimg.com/profile_images/646691501871861760/TCNjrl9q.jpg","View")</f>
        <v>View</v>
      </c>
    </row>
    <row r="2016" spans="1:21" ht="30.6">
      <c r="A2016" s="6">
        <v>43422.480185185181</v>
      </c>
      <c r="B2016" s="7" t="str">
        <f>HYPERLINK("https://twitter.com/COPE","@COPE")</f>
        <v>@COPE</v>
      </c>
      <c r="C2016" s="8" t="s">
        <v>4414</v>
      </c>
      <c r="D2016" s="9" t="s">
        <v>6947</v>
      </c>
      <c r="E2016" s="10" t="str">
        <f>HYPERLINK("https://twitter.com/COPE/status/1064239686925905921","1064239686925905921")</f>
        <v>1064239686925905921</v>
      </c>
      <c r="F2016" s="11" t="s">
        <v>6948</v>
      </c>
      <c r="G2016" s="12"/>
      <c r="H2016" s="12"/>
      <c r="I2016" s="13">
        <v>5</v>
      </c>
      <c r="J2016" s="13">
        <v>13</v>
      </c>
      <c r="K2016" s="14" t="str">
        <f>HYPERLINK("http://dogtrack.es","DogTrack_Oficial")</f>
        <v>DogTrack_Oficial</v>
      </c>
      <c r="L2016" s="13">
        <v>352772</v>
      </c>
      <c r="M2016" s="13">
        <v>149</v>
      </c>
      <c r="N2016" s="13">
        <v>3085</v>
      </c>
      <c r="O2016" s="19" t="s">
        <v>74</v>
      </c>
      <c r="P2016" s="6">
        <v>39381.163321759261</v>
      </c>
      <c r="Q2016" s="17" t="s">
        <v>26</v>
      </c>
      <c r="R2016" s="16" t="s">
        <v>4419</v>
      </c>
      <c r="S2016" s="11" t="s">
        <v>4420</v>
      </c>
      <c r="T2016" s="12"/>
      <c r="U2016" s="10" t="str">
        <f>HYPERLINK("https://pbs.twimg.com/profile_images/1063097716031533059/yAe1j-56.jpg","View")</f>
        <v>View</v>
      </c>
    </row>
    <row r="2017" spans="1:21" ht="30.6">
      <c r="A2017" s="6">
        <v>43422.479733796295</v>
      </c>
      <c r="B2017" s="7" t="str">
        <f>HYPERLINK("https://twitter.com/macajime1","@macajime1")</f>
        <v>@macajime1</v>
      </c>
      <c r="C2017" s="8" t="s">
        <v>6949</v>
      </c>
      <c r="D2017" s="9" t="s">
        <v>6950</v>
      </c>
      <c r="E2017" s="10" t="str">
        <f>HYPERLINK("https://twitter.com/macajime1/status/1064239524358832128","1064239524358832128")</f>
        <v>1064239524358832128</v>
      </c>
      <c r="F2017" s="12"/>
      <c r="G2017" s="12"/>
      <c r="H2017" s="12"/>
      <c r="I2017" s="13">
        <v>2</v>
      </c>
      <c r="J2017" s="13">
        <v>5</v>
      </c>
      <c r="K2017" s="14" t="str">
        <f t="shared" ref="K2017:K2019" si="382">HYPERLINK("http://twitter.com/download/android","Twitter for Android")</f>
        <v>Twitter for Android</v>
      </c>
      <c r="L2017" s="13">
        <v>1635</v>
      </c>
      <c r="M2017" s="13">
        <v>1576</v>
      </c>
      <c r="N2017" s="13">
        <v>7</v>
      </c>
      <c r="O2017" s="15"/>
      <c r="P2017" s="6">
        <v>42805.908958333333</v>
      </c>
      <c r="Q2017" s="17" t="s">
        <v>29</v>
      </c>
      <c r="R2017" s="16" t="s">
        <v>6951</v>
      </c>
      <c r="S2017" s="12"/>
      <c r="T2017" s="12"/>
      <c r="U2017" s="10" t="str">
        <f>HYPERLINK("https://pbs.twimg.com/profile_images/1065006451566002177/ywdm-0_h.jpg","View")</f>
        <v>View</v>
      </c>
    </row>
    <row r="2018" spans="1:21" ht="30.6">
      <c r="A2018" s="6">
        <v>43422.478449074071</v>
      </c>
      <c r="B2018" s="7" t="str">
        <f>HYPERLINK("https://twitter.com/claega_clara","@claega_clara")</f>
        <v>@claega_clara</v>
      </c>
      <c r="C2018" s="8" t="s">
        <v>6952</v>
      </c>
      <c r="D2018" s="9" t="s">
        <v>6953</v>
      </c>
      <c r="E2018" s="10" t="str">
        <f>HYPERLINK("https://twitter.com/claega_clara/status/1064239058438754310","1064239058438754310")</f>
        <v>1064239058438754310</v>
      </c>
      <c r="F2018" s="11" t="s">
        <v>6954</v>
      </c>
      <c r="G2018" s="12"/>
      <c r="H2018" s="12"/>
      <c r="I2018" s="13">
        <v>0</v>
      </c>
      <c r="J2018" s="13">
        <v>0</v>
      </c>
      <c r="K2018" s="14" t="str">
        <f t="shared" si="382"/>
        <v>Twitter for Android</v>
      </c>
      <c r="L2018" s="13">
        <v>5356</v>
      </c>
      <c r="M2018" s="13">
        <v>3980</v>
      </c>
      <c r="N2018" s="13">
        <v>34</v>
      </c>
      <c r="O2018" s="15"/>
      <c r="P2018" s="6">
        <v>41392.613067129627</v>
      </c>
      <c r="Q2018" s="12"/>
      <c r="R2018" s="16" t="s">
        <v>6955</v>
      </c>
      <c r="S2018" s="12"/>
      <c r="T2018" s="12"/>
      <c r="U2018" s="10" t="str">
        <f>HYPERLINK("https://pbs.twimg.com/profile_images/1054323017176834048/5v_78iKi.jpg","View")</f>
        <v>View</v>
      </c>
    </row>
    <row r="2019" spans="1:21" ht="40.799999999999997">
      <c r="A2019" s="6">
        <v>43422.477592592593</v>
      </c>
      <c r="B2019" s="7" t="str">
        <f>HYPERLINK("https://twitter.com/QueenChopped","@QueenChopped")</f>
        <v>@QueenChopped</v>
      </c>
      <c r="C2019" s="8" t="s">
        <v>6956</v>
      </c>
      <c r="D2019" s="9" t="s">
        <v>6957</v>
      </c>
      <c r="E2019" s="10" t="str">
        <f>HYPERLINK("https://twitter.com/QueenChopped/status/1064238747749937161","1064238747749937161")</f>
        <v>1064238747749937161</v>
      </c>
      <c r="F2019" s="17" t="s">
        <v>439</v>
      </c>
      <c r="G2019" s="11" t="s">
        <v>440</v>
      </c>
      <c r="H2019" s="12"/>
      <c r="I2019" s="13">
        <v>0</v>
      </c>
      <c r="J2019" s="13">
        <v>0</v>
      </c>
      <c r="K2019" s="14" t="str">
        <f t="shared" si="382"/>
        <v>Twitter for Android</v>
      </c>
      <c r="L2019" s="13">
        <v>398</v>
      </c>
      <c r="M2019" s="13">
        <v>440</v>
      </c>
      <c r="N2019" s="13">
        <v>10</v>
      </c>
      <c r="O2019" s="15"/>
      <c r="P2019" s="6">
        <v>40560.313645833332</v>
      </c>
      <c r="Q2019" s="12"/>
      <c r="R2019" s="16" t="s">
        <v>6958</v>
      </c>
      <c r="S2019" s="11" t="s">
        <v>6959</v>
      </c>
      <c r="T2019" s="12"/>
      <c r="U2019" s="10" t="str">
        <f>HYPERLINK("https://pbs.twimg.com/profile_images/1061467805315465222/4cMMTkw6.jpg","View")</f>
        <v>View</v>
      </c>
    </row>
    <row r="2020" spans="1:21" ht="30.6">
      <c r="A2020" s="6">
        <v>43422.477314814816</v>
      </c>
      <c r="B2020" s="7" t="str">
        <f>HYPERLINK("https://twitter.com/taoista56","@taoista56")</f>
        <v>@taoista56</v>
      </c>
      <c r="C2020" s="8" t="s">
        <v>1540</v>
      </c>
      <c r="D2020" s="9" t="s">
        <v>1749</v>
      </c>
      <c r="E2020" s="10" t="str">
        <f>HYPERLINK("https://twitter.com/taoista56/status/1064238644725235720","1064238644725235720")</f>
        <v>1064238644725235720</v>
      </c>
      <c r="F2020" s="11" t="s">
        <v>1750</v>
      </c>
      <c r="G2020" s="12"/>
      <c r="H2020" s="12"/>
      <c r="I2020" s="13">
        <v>0</v>
      </c>
      <c r="J2020" s="13">
        <v>0</v>
      </c>
      <c r="K2020" s="14" t="str">
        <f>HYPERLINK("http://twitter.com","Twitter Web Client")</f>
        <v>Twitter Web Client</v>
      </c>
      <c r="L2020" s="13">
        <v>579</v>
      </c>
      <c r="M2020" s="13">
        <v>1914</v>
      </c>
      <c r="N2020" s="13">
        <v>6</v>
      </c>
      <c r="O2020" s="15"/>
      <c r="P2020" s="6">
        <v>40819.501863425925</v>
      </c>
      <c r="Q2020" s="17" t="s">
        <v>1541</v>
      </c>
      <c r="R2020" s="18"/>
      <c r="S2020" s="12"/>
      <c r="T2020" s="12"/>
      <c r="U2020" s="10" t="str">
        <f>HYPERLINK("https://pbs.twimg.com/profile_images/694232062031740928/1tub_Vsu.png","View")</f>
        <v>View</v>
      </c>
    </row>
    <row r="2021" spans="1:21" ht="20.399999999999999">
      <c r="A2021" s="6">
        <v>43422.475219907406</v>
      </c>
      <c r="B2021" s="7" t="str">
        <f>HYPERLINK("https://twitter.com/AlbertManzano8","@AlbertManzano8")</f>
        <v>@AlbertManzano8</v>
      </c>
      <c r="C2021" s="8" t="s">
        <v>6960</v>
      </c>
      <c r="D2021" s="9" t="s">
        <v>6961</v>
      </c>
      <c r="E2021" s="10" t="str">
        <f>HYPERLINK("https://twitter.com/AlbertManzano8/status/1064237888295133185","1064237888295133185")</f>
        <v>1064237888295133185</v>
      </c>
      <c r="F2021" s="12"/>
      <c r="G2021" s="12"/>
      <c r="H2021" s="12"/>
      <c r="I2021" s="13">
        <v>0</v>
      </c>
      <c r="J2021" s="13">
        <v>0</v>
      </c>
      <c r="K2021" s="14" t="str">
        <f t="shared" ref="K2021:K2023" si="383">HYPERLINK("http://twitter.com/download/android","Twitter for Android")</f>
        <v>Twitter for Android</v>
      </c>
      <c r="L2021" s="13">
        <v>148</v>
      </c>
      <c r="M2021" s="13">
        <v>376</v>
      </c>
      <c r="N2021" s="13">
        <v>0</v>
      </c>
      <c r="O2021" s="15"/>
      <c r="P2021" s="6">
        <v>41274.442974537036</v>
      </c>
      <c r="Q2021" s="12"/>
      <c r="R2021" s="16" t="s">
        <v>6962</v>
      </c>
      <c r="S2021" s="12"/>
      <c r="T2021" s="12"/>
      <c r="U2021" s="10" t="str">
        <f>HYPERLINK("https://pbs.twimg.com/profile_images/942132037888233473/IaN6YzH0.jpg","View")</f>
        <v>View</v>
      </c>
    </row>
    <row r="2022" spans="1:21" ht="40.799999999999997">
      <c r="A2022" s="6">
        <v>43422.474872685183</v>
      </c>
      <c r="B2022" s="7" t="str">
        <f>HYPERLINK("https://twitter.com/mablanco60","@mablanco60")</f>
        <v>@mablanco60</v>
      </c>
      <c r="C2022" s="8" t="s">
        <v>6963</v>
      </c>
      <c r="D2022" s="9" t="s">
        <v>6964</v>
      </c>
      <c r="E2022" s="10" t="str">
        <f>HYPERLINK("https://twitter.com/mablanco60/status/1064237759714508800","1064237759714508800")</f>
        <v>1064237759714508800</v>
      </c>
      <c r="F2022" s="11" t="s">
        <v>6965</v>
      </c>
      <c r="G2022" s="12"/>
      <c r="H2022" s="12"/>
      <c r="I2022" s="13">
        <v>3</v>
      </c>
      <c r="J2022" s="13">
        <v>6</v>
      </c>
      <c r="K2022" s="14" t="str">
        <f t="shared" si="383"/>
        <v>Twitter for Android</v>
      </c>
      <c r="L2022" s="13">
        <v>5243</v>
      </c>
      <c r="M2022" s="13">
        <v>1260</v>
      </c>
      <c r="N2022" s="13">
        <v>94</v>
      </c>
      <c r="O2022" s="15"/>
      <c r="P2022" s="6">
        <v>40515.676018518519</v>
      </c>
      <c r="Q2022" s="12"/>
      <c r="R2022" s="16" t="s">
        <v>6966</v>
      </c>
      <c r="S2022" s="12"/>
      <c r="T2022" s="12"/>
      <c r="U2022" s="10" t="str">
        <f>HYPERLINK("https://pbs.twimg.com/profile_images/712780854540574722/JJa2jxKn.jpg","View")</f>
        <v>View</v>
      </c>
    </row>
    <row r="2023" spans="1:21" ht="20.399999999999999">
      <c r="A2023" s="6">
        <v>43422.472581018519</v>
      </c>
      <c r="B2023" s="7" t="str">
        <f>HYPERLINK("https://twitter.com/AnnieCLopez","@AnnieCLopez")</f>
        <v>@AnnieCLopez</v>
      </c>
      <c r="C2023" s="8" t="s">
        <v>6967</v>
      </c>
      <c r="D2023" s="9" t="s">
        <v>6968</v>
      </c>
      <c r="E2023" s="10" t="str">
        <f>HYPERLINK("https://twitter.com/AnnieCLopez/status/1064236931373047808","1064236931373047808")</f>
        <v>1064236931373047808</v>
      </c>
      <c r="F2023" s="12"/>
      <c r="G2023" s="12"/>
      <c r="H2023" s="12"/>
      <c r="I2023" s="13">
        <v>1</v>
      </c>
      <c r="J2023" s="13">
        <v>3</v>
      </c>
      <c r="K2023" s="14" t="str">
        <f t="shared" si="383"/>
        <v>Twitter for Android</v>
      </c>
      <c r="L2023" s="13">
        <v>330</v>
      </c>
      <c r="M2023" s="13">
        <v>264</v>
      </c>
      <c r="N2023" s="13">
        <v>7</v>
      </c>
      <c r="O2023" s="15"/>
      <c r="P2023" s="6">
        <v>39986.156712962962</v>
      </c>
      <c r="Q2023" s="17" t="s">
        <v>6969</v>
      </c>
      <c r="R2023" s="16" t="s">
        <v>6970</v>
      </c>
      <c r="S2023" s="12"/>
      <c r="T2023" s="12"/>
      <c r="U2023" s="10" t="str">
        <f>HYPERLINK("https://pbs.twimg.com/profile_images/994140416210558981/PcAvQnZ4.jpg","View")</f>
        <v>View</v>
      </c>
    </row>
    <row r="2024" spans="1:21" ht="20.399999999999999">
      <c r="A2024" s="6">
        <v>43422.471608796295</v>
      </c>
      <c r="B2024" s="7" t="str">
        <f>HYPERLINK("https://twitter.com/LuisCarlos17f","@LuisCarlos17f")</f>
        <v>@LuisCarlos17f</v>
      </c>
      <c r="C2024" s="8" t="s">
        <v>6971</v>
      </c>
      <c r="D2024" s="9" t="s">
        <v>6641</v>
      </c>
      <c r="E2024" s="10" t="str">
        <f>HYPERLINK("https://twitter.com/LuisCarlos17f/status/1064236579311534081","1064236579311534081")</f>
        <v>1064236579311534081</v>
      </c>
      <c r="F2024" s="11" t="s">
        <v>5715</v>
      </c>
      <c r="G2024" s="12"/>
      <c r="H2024" s="12"/>
      <c r="I2024" s="13">
        <v>0</v>
      </c>
      <c r="J2024" s="13">
        <v>0</v>
      </c>
      <c r="K2024" s="14" t="str">
        <f>HYPERLINK("http://twitter.com","Twitter Web Client")</f>
        <v>Twitter Web Client</v>
      </c>
      <c r="L2024" s="13">
        <v>323</v>
      </c>
      <c r="M2024" s="13">
        <v>1058</v>
      </c>
      <c r="N2024" s="13">
        <v>2</v>
      </c>
      <c r="O2024" s="15"/>
      <c r="P2024" s="6">
        <v>42913.32303240741</v>
      </c>
      <c r="Q2024" s="17" t="s">
        <v>6972</v>
      </c>
      <c r="R2024" s="18"/>
      <c r="S2024" s="12"/>
      <c r="T2024" s="12"/>
      <c r="U2024" s="10" t="str">
        <f>HYPERLINK("https://pbs.twimg.com/profile_images/880094856810463232/MN4WBge2.jpg","View")</f>
        <v>View</v>
      </c>
    </row>
    <row r="2025" spans="1:21" ht="20.399999999999999">
      <c r="A2025" s="6">
        <v>43422.471585648149</v>
      </c>
      <c r="B2025" s="7" t="str">
        <f>HYPERLINK("https://twitter.com/gemajordanbayo2","@gemajordanbayo2")</f>
        <v>@gemajordanbayo2</v>
      </c>
      <c r="C2025" s="8" t="s">
        <v>6973</v>
      </c>
      <c r="D2025" s="9" t="s">
        <v>6974</v>
      </c>
      <c r="E2025" s="10" t="str">
        <f>HYPERLINK("https://twitter.com/gemajordanbayo2/status/1064236571971526661","1064236571971526661")</f>
        <v>1064236571971526661</v>
      </c>
      <c r="F2025" s="12"/>
      <c r="G2025" s="12"/>
      <c r="H2025" s="12"/>
      <c r="I2025" s="13">
        <v>1</v>
      </c>
      <c r="J2025" s="13">
        <v>2</v>
      </c>
      <c r="K2025" s="14" t="str">
        <f>HYPERLINK("http://twitter.com/download/iphone","Twitter for iPhone")</f>
        <v>Twitter for iPhone</v>
      </c>
      <c r="L2025" s="13">
        <v>38</v>
      </c>
      <c r="M2025" s="13">
        <v>55</v>
      </c>
      <c r="N2025" s="13">
        <v>0</v>
      </c>
      <c r="O2025" s="15"/>
      <c r="P2025" s="6">
        <v>43304.544340277775</v>
      </c>
      <c r="Q2025" s="17" t="s">
        <v>3086</v>
      </c>
      <c r="R2025" s="16" t="s">
        <v>6975</v>
      </c>
      <c r="S2025" s="12"/>
      <c r="T2025" s="12"/>
      <c r="U2025" s="10" t="str">
        <f>HYPERLINK("https://pbs.twimg.com/profile_images/1021493214463893505/B9tsW0fB.jpg","View")</f>
        <v>View</v>
      </c>
    </row>
    <row r="2026" spans="1:21" ht="40.799999999999997">
      <c r="A2026" s="6">
        <v>43422.471562499995</v>
      </c>
      <c r="B2026" s="7" t="str">
        <f>HYPERLINK("https://twitter.com/Jota_POV","@Jota_POV")</f>
        <v>@Jota_POV</v>
      </c>
      <c r="C2026" s="8" t="s">
        <v>2440</v>
      </c>
      <c r="D2026" s="9" t="s">
        <v>6976</v>
      </c>
      <c r="E2026" s="10" t="str">
        <f>HYPERLINK("https://twitter.com/Jota_POV/status/1064236559723941888","1064236559723941888")</f>
        <v>1064236559723941888</v>
      </c>
      <c r="F2026" s="11" t="s">
        <v>6977</v>
      </c>
      <c r="G2026" s="12"/>
      <c r="H2026" s="12"/>
      <c r="I2026" s="13">
        <v>0</v>
      </c>
      <c r="J2026" s="13">
        <v>0</v>
      </c>
      <c r="K2026" s="14" t="str">
        <f>HYPERLINK("https://www.google.com/","Google")</f>
        <v>Google</v>
      </c>
      <c r="L2026" s="13">
        <v>4520</v>
      </c>
      <c r="M2026" s="13">
        <v>3201</v>
      </c>
      <c r="N2026" s="13">
        <v>50</v>
      </c>
      <c r="O2026" s="15"/>
      <c r="P2026" s="6">
        <v>41980.506006944444</v>
      </c>
      <c r="Q2026" s="12"/>
      <c r="R2026" s="16" t="s">
        <v>2444</v>
      </c>
      <c r="S2026" s="11" t="s">
        <v>2445</v>
      </c>
      <c r="T2026" s="12"/>
      <c r="U2026" s="10" t="str">
        <f>HYPERLINK("https://pbs.twimg.com/profile_images/947892020210798592/Rl5Z9RiM.jpg","View")</f>
        <v>View</v>
      </c>
    </row>
    <row r="2027" spans="1:21" ht="20.399999999999999">
      <c r="A2027" s="6">
        <v>43422.470393518517</v>
      </c>
      <c r="B2027" s="7" t="str">
        <f>HYPERLINK("https://twitter.com/DonMitxel_VI","@DonMitxel_VI")</f>
        <v>@DonMitxel_VI</v>
      </c>
      <c r="C2027" s="8" t="s">
        <v>6826</v>
      </c>
      <c r="D2027" s="9" t="s">
        <v>6978</v>
      </c>
      <c r="E2027" s="10" t="str">
        <f>HYPERLINK("https://twitter.com/DonMitxel_VI/status/1064236137508741120","1064236137508741120")</f>
        <v>1064236137508741120</v>
      </c>
      <c r="F2027" s="12"/>
      <c r="G2027" s="12"/>
      <c r="H2027" s="12"/>
      <c r="I2027" s="13">
        <v>10</v>
      </c>
      <c r="J2027" s="13">
        <v>42</v>
      </c>
      <c r="K2027" s="14" t="str">
        <f>HYPERLINK("http://twitter.com","Twitter Web Client")</f>
        <v>Twitter Web Client</v>
      </c>
      <c r="L2027" s="13">
        <v>17461</v>
      </c>
      <c r="M2027" s="13">
        <v>3362</v>
      </c>
      <c r="N2027" s="13">
        <v>215</v>
      </c>
      <c r="O2027" s="15"/>
      <c r="P2027" s="6">
        <v>40728.236493055556</v>
      </c>
      <c r="Q2027" s="17" t="s">
        <v>6828</v>
      </c>
      <c r="R2027" s="16" t="s">
        <v>6829</v>
      </c>
      <c r="S2027" s="12"/>
      <c r="T2027" s="12"/>
      <c r="U2027" s="10" t="str">
        <f>HYPERLINK("https://pbs.twimg.com/profile_images/1827119712/calimero.jpg","View")</f>
        <v>View</v>
      </c>
    </row>
    <row r="2028" spans="1:21" ht="13.2">
      <c r="A2028" s="6">
        <v>43422.470243055555</v>
      </c>
      <c r="B2028" s="7" t="str">
        <f>HYPERLINK("https://twitter.com/AlejandroHervas","@AlejandroHervas")</f>
        <v>@AlejandroHervas</v>
      </c>
      <c r="C2028" s="8" t="s">
        <v>6979</v>
      </c>
      <c r="D2028" s="9" t="s">
        <v>6980</v>
      </c>
      <c r="E2028" s="10" t="str">
        <f>HYPERLINK("https://twitter.com/AlejandroHervas/status/1064236082819198978","1064236082819198978")</f>
        <v>1064236082819198978</v>
      </c>
      <c r="F2028" s="11" t="s">
        <v>6981</v>
      </c>
      <c r="G2028" s="12"/>
      <c r="H2028" s="12"/>
      <c r="I2028" s="13">
        <v>0</v>
      </c>
      <c r="J2028" s="13">
        <v>0</v>
      </c>
      <c r="K2028" s="14" t="str">
        <f>HYPERLINK("https://play.google.com/store/apps/details?id=com.arthurivanets.owly","Оwly")</f>
        <v>Оwly</v>
      </c>
      <c r="L2028" s="13">
        <v>30</v>
      </c>
      <c r="M2028" s="13">
        <v>38</v>
      </c>
      <c r="N2028" s="13">
        <v>1</v>
      </c>
      <c r="O2028" s="15"/>
      <c r="P2028" s="6">
        <v>40581.434525462959</v>
      </c>
      <c r="Q2028" s="17" t="s">
        <v>187</v>
      </c>
      <c r="R2028" s="16" t="s">
        <v>6982</v>
      </c>
      <c r="S2028" s="11" t="s">
        <v>6983</v>
      </c>
      <c r="T2028" s="12"/>
      <c r="U2028" s="10" t="str">
        <f>HYPERLINK("https://pbs.twimg.com/profile_images/1050036705221337089/8IdWU9XT.jpg","View")</f>
        <v>View</v>
      </c>
    </row>
    <row r="2029" spans="1:21" ht="40.799999999999997">
      <c r="A2029" s="6">
        <v>43422.468425925923</v>
      </c>
      <c r="B2029" s="7" t="str">
        <f>HYPERLINK("https://twitter.com/noticiasmira","@noticiasmira")</f>
        <v>@noticiasmira</v>
      </c>
      <c r="C2029" s="20" t="s">
        <v>6984</v>
      </c>
      <c r="D2029" s="9" t="s">
        <v>6985</v>
      </c>
      <c r="E2029" s="10" t="str">
        <f>HYPERLINK("https://twitter.com/noticiasmira/status/1064235426712563716","1064235426712563716")</f>
        <v>1064235426712563716</v>
      </c>
      <c r="F2029" s="11" t="s">
        <v>6986</v>
      </c>
      <c r="G2029" s="11" t="s">
        <v>6987</v>
      </c>
      <c r="H2029" s="12"/>
      <c r="I2029" s="13">
        <v>0</v>
      </c>
      <c r="J2029" s="13">
        <v>0</v>
      </c>
      <c r="K2029" s="14" t="str">
        <f>HYPERLINK("https://www.echobox.com","Echobox Social")</f>
        <v>Echobox Social</v>
      </c>
      <c r="L2029" s="13">
        <v>4025</v>
      </c>
      <c r="M2029" s="13">
        <v>171</v>
      </c>
      <c r="N2029" s="13">
        <v>41</v>
      </c>
      <c r="O2029" s="15"/>
      <c r="P2029" s="6">
        <v>41682.15797453704</v>
      </c>
      <c r="Q2029" s="17" t="s">
        <v>2123</v>
      </c>
      <c r="R2029" s="16" t="s">
        <v>6988</v>
      </c>
      <c r="S2029" s="11" t="s">
        <v>6989</v>
      </c>
      <c r="T2029" s="12"/>
      <c r="U2029" s="10" t="str">
        <f>HYPERLINK("https://pbs.twimg.com/profile_images/1051036514396848134/2N6ZRabF.jpg","View")</f>
        <v>View</v>
      </c>
    </row>
    <row r="2030" spans="1:21" ht="30.6">
      <c r="A2030" s="6">
        <v>43422.467581018514</v>
      </c>
      <c r="B2030" s="7" t="str">
        <f>HYPERLINK("https://twitter.com/skakeofanzine","@skakeofanzine")</f>
        <v>@skakeofanzine</v>
      </c>
      <c r="C2030" s="8" t="s">
        <v>3142</v>
      </c>
      <c r="D2030" s="9" t="s">
        <v>6990</v>
      </c>
      <c r="E2030" s="10" t="str">
        <f>HYPERLINK("https://twitter.com/skakeofanzine/status/1064235118129221633","1064235118129221633")</f>
        <v>1064235118129221633</v>
      </c>
      <c r="F2030" s="12"/>
      <c r="G2030" s="12"/>
      <c r="H2030" s="12"/>
      <c r="I2030" s="13">
        <v>0</v>
      </c>
      <c r="J2030" s="13">
        <v>0</v>
      </c>
      <c r="K2030" s="14" t="str">
        <f>HYPERLINK("http://twitter.com/download/android","Twitter for Android")</f>
        <v>Twitter for Android</v>
      </c>
      <c r="L2030" s="13">
        <v>2205</v>
      </c>
      <c r="M2030" s="13">
        <v>1196</v>
      </c>
      <c r="N2030" s="13">
        <v>43</v>
      </c>
      <c r="O2030" s="15"/>
      <c r="P2030" s="6">
        <v>40445.277233796296</v>
      </c>
      <c r="Q2030" s="17" t="s">
        <v>215</v>
      </c>
      <c r="R2030" s="16" t="s">
        <v>3145</v>
      </c>
      <c r="S2030" s="11" t="s">
        <v>3146</v>
      </c>
      <c r="T2030" s="12"/>
      <c r="U2030" s="10" t="str">
        <f>HYPERLINK("https://pbs.twimg.com/profile_images/1130273526/gse_multipart50931.jpg","View")</f>
        <v>View</v>
      </c>
    </row>
    <row r="2031" spans="1:21" ht="20.399999999999999">
      <c r="A2031" s="6">
        <v>43422.46675925926</v>
      </c>
      <c r="B2031" s="7" t="str">
        <f>HYPERLINK("https://twitter.com/ppcaes","@ppcaes")</f>
        <v>@ppcaes</v>
      </c>
      <c r="C2031" s="8" t="s">
        <v>6991</v>
      </c>
      <c r="D2031" s="9" t="s">
        <v>6992</v>
      </c>
      <c r="E2031" s="10" t="str">
        <f>HYPERLINK("https://twitter.com/ppcaes/status/1064234819108970496","1064234819108970496")</f>
        <v>1064234819108970496</v>
      </c>
      <c r="F2031" s="11" t="s">
        <v>6778</v>
      </c>
      <c r="G2031" s="12"/>
      <c r="H2031" s="12"/>
      <c r="I2031" s="13">
        <v>0</v>
      </c>
      <c r="J2031" s="13">
        <v>0</v>
      </c>
      <c r="K2031" s="14" t="str">
        <f>HYPERLINK("http://twitter.com","Twitter Web Client")</f>
        <v>Twitter Web Client</v>
      </c>
      <c r="L2031" s="13">
        <v>868</v>
      </c>
      <c r="M2031" s="13">
        <v>2126</v>
      </c>
      <c r="N2031" s="13">
        <v>3</v>
      </c>
      <c r="O2031" s="15"/>
      <c r="P2031" s="6">
        <v>40917.321099537039</v>
      </c>
      <c r="Q2031" s="17" t="s">
        <v>118</v>
      </c>
      <c r="R2031" s="18"/>
      <c r="S2031" s="12"/>
      <c r="T2031" s="12"/>
      <c r="U2031" s="10" t="str">
        <f>HYPERLINK("https://pbs.twimg.com/profile_images/920358460155449345/x1HqzV0H.jpg","View")</f>
        <v>View</v>
      </c>
    </row>
    <row r="2032" spans="1:21" ht="20.399999999999999">
      <c r="A2032" s="6">
        <v>43422.464224537034</v>
      </c>
      <c r="B2032" s="7" t="str">
        <f>HYPERLINK("https://twitter.com/josecalvogomez","@josecalvogomez")</f>
        <v>@josecalvogomez</v>
      </c>
      <c r="C2032" s="8" t="s">
        <v>845</v>
      </c>
      <c r="D2032" s="9" t="s">
        <v>6483</v>
      </c>
      <c r="E2032" s="10" t="str">
        <f>HYPERLINK("https://twitter.com/josecalvogomez/status/1064233901911171072","1064233901911171072")</f>
        <v>1064233901911171072</v>
      </c>
      <c r="F2032" s="11" t="s">
        <v>6993</v>
      </c>
      <c r="G2032" s="12"/>
      <c r="H2032" s="12"/>
      <c r="I2032" s="13">
        <v>0</v>
      </c>
      <c r="J2032" s="13">
        <v>1</v>
      </c>
      <c r="K2032" s="14" t="str">
        <f t="shared" ref="K2032:K2033" si="384">HYPERLINK("http://twitter.com/download/android","Twitter for Android")</f>
        <v>Twitter for Android</v>
      </c>
      <c r="L2032" s="13">
        <v>4153</v>
      </c>
      <c r="M2032" s="13">
        <v>4999</v>
      </c>
      <c r="N2032" s="13">
        <v>25</v>
      </c>
      <c r="O2032" s="15"/>
      <c r="P2032" s="6">
        <v>41325.620289351849</v>
      </c>
      <c r="Q2032" s="12"/>
      <c r="R2032" s="18"/>
      <c r="S2032" s="12"/>
      <c r="T2032" s="12"/>
      <c r="U2032" s="10" t="str">
        <f>HYPERLINK("https://pbs.twimg.com/profile_images/641263832598454272/RFaw01FM.jpg","View")</f>
        <v>View</v>
      </c>
    </row>
    <row r="2033" spans="1:21" ht="40.799999999999997">
      <c r="A2033" s="6">
        <v>43422.464155092588</v>
      </c>
      <c r="B2033" s="7" t="str">
        <f>HYPERLINK("https://twitter.com/Gerardipunt","@Gerardipunt")</f>
        <v>@Gerardipunt</v>
      </c>
      <c r="C2033" s="8" t="s">
        <v>6994</v>
      </c>
      <c r="D2033" s="9" t="s">
        <v>6995</v>
      </c>
      <c r="E2033" s="10" t="str">
        <f>HYPERLINK("https://twitter.com/Gerardipunt/status/1064233879228375042","1064233879228375042")</f>
        <v>1064233879228375042</v>
      </c>
      <c r="F2033" s="12"/>
      <c r="G2033" s="12"/>
      <c r="H2033" s="12"/>
      <c r="I2033" s="13">
        <v>0</v>
      </c>
      <c r="J2033" s="13">
        <v>4</v>
      </c>
      <c r="K2033" s="14" t="str">
        <f t="shared" si="384"/>
        <v>Twitter for Android</v>
      </c>
      <c r="L2033" s="13">
        <v>1374</v>
      </c>
      <c r="M2033" s="13">
        <v>1405</v>
      </c>
      <c r="N2033" s="13">
        <v>46</v>
      </c>
      <c r="O2033" s="15"/>
      <c r="P2033" s="6">
        <v>40494.567291666666</v>
      </c>
      <c r="Q2033" s="17" t="s">
        <v>6996</v>
      </c>
      <c r="R2033" s="16" t="s">
        <v>6997</v>
      </c>
      <c r="S2033" s="12"/>
      <c r="T2033" s="12"/>
      <c r="U2033" s="10" t="str">
        <f>HYPERLINK("https://pbs.twimg.com/profile_images/951394006499516417/AvipyIq-.jpg","View")</f>
        <v>View</v>
      </c>
    </row>
    <row r="2034" spans="1:21" ht="40.799999999999997">
      <c r="A2034" s="6">
        <v>43422.462500000001</v>
      </c>
      <c r="B2034" s="7" t="str">
        <f>HYPERLINK("https://twitter.com/j_mrio","@j_mrio")</f>
        <v>@j_mrio</v>
      </c>
      <c r="C2034" s="8" t="s">
        <v>6998</v>
      </c>
      <c r="D2034" s="9" t="s">
        <v>6999</v>
      </c>
      <c r="E2034" s="10" t="str">
        <f>HYPERLINK("https://twitter.com/j_mrio/status/1064233278008373249","1064233278008373249")</f>
        <v>1064233278008373249</v>
      </c>
      <c r="F2034" s="12"/>
      <c r="G2034" s="12"/>
      <c r="H2034" s="12"/>
      <c r="I2034" s="13">
        <v>0</v>
      </c>
      <c r="J2034" s="13">
        <v>1</v>
      </c>
      <c r="K2034" s="14" t="str">
        <f>HYPERLINK("http://twitter.com","Twitter Web Client")</f>
        <v>Twitter Web Client</v>
      </c>
      <c r="L2034" s="13">
        <v>122</v>
      </c>
      <c r="M2034" s="13">
        <v>121</v>
      </c>
      <c r="N2034" s="13">
        <v>0</v>
      </c>
      <c r="O2034" s="15"/>
      <c r="P2034" s="6">
        <v>41579.192106481481</v>
      </c>
      <c r="Q2034" s="12"/>
      <c r="R2034" s="16" t="s">
        <v>7000</v>
      </c>
      <c r="S2034" s="12"/>
      <c r="T2034" s="12"/>
      <c r="U2034" s="10" t="str">
        <f>HYPERLINK("https://pbs.twimg.com/profile_images/1034921299469107200/FSzLbe7D.jpg","View")</f>
        <v>View</v>
      </c>
    </row>
    <row r="2035" spans="1:21" ht="71.400000000000006">
      <c r="A2035" s="6">
        <v>43422.459803240738</v>
      </c>
      <c r="B2035" s="7" t="str">
        <f>HYPERLINK("https://twitter.com/VientuNordes","@VientuNordes")</f>
        <v>@VientuNordes</v>
      </c>
      <c r="C2035" s="8" t="s">
        <v>7001</v>
      </c>
      <c r="D2035" s="9" t="s">
        <v>7002</v>
      </c>
      <c r="E2035" s="10" t="str">
        <f>HYPERLINK("https://twitter.com/VientuNordes/status/1064232299426922497","1064232299426922497")</f>
        <v>1064232299426922497</v>
      </c>
      <c r="F2035" s="11" t="s">
        <v>7003</v>
      </c>
      <c r="G2035" s="11" t="s">
        <v>7004</v>
      </c>
      <c r="H2035" s="12"/>
      <c r="I2035" s="13">
        <v>37</v>
      </c>
      <c r="J2035" s="13">
        <v>78</v>
      </c>
      <c r="K2035" s="14" t="str">
        <f>HYPERLINK("http://twitter.com/download/android","Twitter for Android")</f>
        <v>Twitter for Android</v>
      </c>
      <c r="L2035" s="13">
        <v>4565</v>
      </c>
      <c r="M2035" s="13">
        <v>1960</v>
      </c>
      <c r="N2035" s="13">
        <v>61</v>
      </c>
      <c r="O2035" s="15"/>
      <c r="P2035" s="6">
        <v>41141.595787037033</v>
      </c>
      <c r="Q2035" s="17" t="s">
        <v>7005</v>
      </c>
      <c r="R2035" s="16" t="s">
        <v>7006</v>
      </c>
      <c r="S2035" s="11" t="s">
        <v>7007</v>
      </c>
      <c r="T2035" s="12"/>
      <c r="U2035" s="10" t="str">
        <f>HYPERLINK("https://pbs.twimg.com/profile_images/626840042229645312/QpD0t_Ds.jpg","View")</f>
        <v>View</v>
      </c>
    </row>
    <row r="2036" spans="1:21" ht="40.799999999999997">
      <c r="A2036" s="6">
        <v>43422.459664351853</v>
      </c>
      <c r="B2036" s="7" t="str">
        <f>HYPERLINK("https://twitter.com/JM_Calverol","@JM_Calverol")</f>
        <v>@JM_Calverol</v>
      </c>
      <c r="C2036" s="8" t="s">
        <v>7008</v>
      </c>
      <c r="D2036" s="9" t="s">
        <v>7009</v>
      </c>
      <c r="E2036" s="10" t="str">
        <f>HYPERLINK("https://twitter.com/JM_Calverol/status/1064232251943206912","1064232251943206912")</f>
        <v>1064232251943206912</v>
      </c>
      <c r="F2036" s="11" t="s">
        <v>5997</v>
      </c>
      <c r="G2036" s="12"/>
      <c r="H2036" s="12"/>
      <c r="I2036" s="13">
        <v>0</v>
      </c>
      <c r="J2036" s="13">
        <v>0</v>
      </c>
      <c r="K2036" s="14" t="str">
        <f>HYPERLINK("http://twitter.com","Twitter Web Client")</f>
        <v>Twitter Web Client</v>
      </c>
      <c r="L2036" s="13">
        <v>243</v>
      </c>
      <c r="M2036" s="13">
        <v>183</v>
      </c>
      <c r="N2036" s="13">
        <v>13</v>
      </c>
      <c r="O2036" s="15"/>
      <c r="P2036" s="6">
        <v>41524.411562499998</v>
      </c>
      <c r="Q2036" s="17" t="s">
        <v>187</v>
      </c>
      <c r="R2036" s="16" t="s">
        <v>7010</v>
      </c>
      <c r="S2036" s="12"/>
      <c r="T2036" s="12"/>
      <c r="U2036" s="10" t="str">
        <f>HYPERLINK("https://pbs.twimg.com/profile_images/1038367788958720000/E6V8Mftr.jpg","View")</f>
        <v>View</v>
      </c>
    </row>
    <row r="2037" spans="1:21" ht="13.2">
      <c r="A2037" s="6">
        <v>43422.459201388891</v>
      </c>
      <c r="B2037" s="7" t="str">
        <f>HYPERLINK("https://twitter.com/110010010011010","@110010010011010")</f>
        <v>@110010010011010</v>
      </c>
      <c r="C2037" s="8" t="s">
        <v>7011</v>
      </c>
      <c r="D2037" s="9" t="s">
        <v>7012</v>
      </c>
      <c r="E2037" s="10" t="str">
        <f>HYPERLINK("https://twitter.com/110010010011010/status/1064232081419632640","1064232081419632640")</f>
        <v>1064232081419632640</v>
      </c>
      <c r="F2037" s="12"/>
      <c r="G2037" s="12"/>
      <c r="H2037" s="12"/>
      <c r="I2037" s="13">
        <v>0</v>
      </c>
      <c r="J2037" s="13">
        <v>2</v>
      </c>
      <c r="K2037" s="14" t="str">
        <f>HYPERLINK("https://about.twitter.com/products/tweetdeck","TweetDeck")</f>
        <v>TweetDeck</v>
      </c>
      <c r="L2037" s="13">
        <v>9582</v>
      </c>
      <c r="M2037" s="13">
        <v>1573</v>
      </c>
      <c r="N2037" s="13">
        <v>259</v>
      </c>
      <c r="O2037" s="15"/>
      <c r="P2037" s="6">
        <v>40491.322685185187</v>
      </c>
      <c r="Q2037" s="17" t="s">
        <v>7013</v>
      </c>
      <c r="R2037" s="16" t="s">
        <v>7014</v>
      </c>
      <c r="S2037" s="12"/>
      <c r="T2037" s="12"/>
      <c r="U2037" s="10" t="str">
        <f>HYPERLINK("https://pbs.twimg.com/profile_images/1059042232492285952/qfOsejX9.jpg","View")</f>
        <v>View</v>
      </c>
    </row>
    <row r="2038" spans="1:21" ht="20.399999999999999">
      <c r="A2038" s="6">
        <v>43422.458530092597</v>
      </c>
      <c r="B2038" s="7" t="str">
        <f>HYPERLINK("https://twitter.com/a_kartoshka","@a_kartoshka")</f>
        <v>@a_kartoshka</v>
      </c>
      <c r="C2038" s="8" t="s">
        <v>7015</v>
      </c>
      <c r="D2038" s="9" t="s">
        <v>7016</v>
      </c>
      <c r="E2038" s="10" t="str">
        <f>HYPERLINK("https://twitter.com/a_kartoshka/status/1064231837483061250","1064231837483061250")</f>
        <v>1064231837483061250</v>
      </c>
      <c r="F2038" s="12"/>
      <c r="G2038" s="12"/>
      <c r="H2038" s="12"/>
      <c r="I2038" s="13">
        <v>0</v>
      </c>
      <c r="J2038" s="13">
        <v>0</v>
      </c>
      <c r="K2038" s="14" t="str">
        <f>HYPERLINK("http://twitter.com","Twitter Web Client")</f>
        <v>Twitter Web Client</v>
      </c>
      <c r="L2038" s="13">
        <v>182</v>
      </c>
      <c r="M2038" s="13">
        <v>855</v>
      </c>
      <c r="N2038" s="13">
        <v>3</v>
      </c>
      <c r="O2038" s="15"/>
      <c r="P2038" s="6">
        <v>40521.554224537038</v>
      </c>
      <c r="Q2038" s="12"/>
      <c r="R2038" s="16" t="s">
        <v>7017</v>
      </c>
      <c r="S2038" s="12"/>
      <c r="T2038" s="12"/>
      <c r="U2038" s="10" t="str">
        <f>HYPERLINK("https://pbs.twimg.com/profile_images/1027619032021786624/uyHoESLm.jpg","View")</f>
        <v>View</v>
      </c>
    </row>
    <row r="2039" spans="1:21" ht="40.799999999999997">
      <c r="A2039" s="6">
        <v>43422.457835648151</v>
      </c>
      <c r="B2039" s="7" t="str">
        <f>HYPERLINK("https://twitter.com/Taboodelaney","@Taboodelaney")</f>
        <v>@Taboodelaney</v>
      </c>
      <c r="C2039" s="8" t="s">
        <v>7018</v>
      </c>
      <c r="D2039" s="9" t="s">
        <v>6641</v>
      </c>
      <c r="E2039" s="10" t="str">
        <f>HYPERLINK("https://twitter.com/Taboodelaney/status/1064231588429471744","1064231588429471744")</f>
        <v>1064231588429471744</v>
      </c>
      <c r="F2039" s="11" t="s">
        <v>5715</v>
      </c>
      <c r="G2039" s="12"/>
      <c r="H2039" s="12"/>
      <c r="I2039" s="13">
        <v>2</v>
      </c>
      <c r="J2039" s="13">
        <v>3</v>
      </c>
      <c r="K2039" s="14" t="str">
        <f>HYPERLINK("http://twitter.com/download/android","Twitter for Android")</f>
        <v>Twitter for Android</v>
      </c>
      <c r="L2039" s="13">
        <v>1088</v>
      </c>
      <c r="M2039" s="13">
        <v>969</v>
      </c>
      <c r="N2039" s="13">
        <v>2</v>
      </c>
      <c r="O2039" s="15"/>
      <c r="P2039" s="6">
        <v>43252.359421296293</v>
      </c>
      <c r="Q2039" s="12"/>
      <c r="R2039" s="16" t="s">
        <v>7019</v>
      </c>
      <c r="S2039" s="12"/>
      <c r="T2039" s="12"/>
      <c r="U2039" s="10" t="str">
        <f>HYPERLINK("https://pbs.twimg.com/profile_images/1054075081960382466/6n7kVrx9.jpg","View")</f>
        <v>View</v>
      </c>
    </row>
    <row r="2040" spans="1:21" ht="61.2">
      <c r="A2040" s="6">
        <v>43422.457060185188</v>
      </c>
      <c r="B2040" s="7" t="str">
        <f>HYPERLINK("https://twitter.com/pablo_casado","@pablo_casado")</f>
        <v>@pablo_casado</v>
      </c>
      <c r="C2040" s="8" t="s">
        <v>353</v>
      </c>
      <c r="D2040" s="9" t="s">
        <v>7020</v>
      </c>
      <c r="E2040" s="10" t="str">
        <f>HYPERLINK("https://twitter.com/pablo_casado/status/1064231307432071179","1064231307432071179")</f>
        <v>1064231307432071179</v>
      </c>
      <c r="F2040" s="17" t="s">
        <v>7021</v>
      </c>
      <c r="G2040" s="12"/>
      <c r="H2040" s="12"/>
      <c r="I2040" s="13">
        <v>0</v>
      </c>
      <c r="J2040" s="13">
        <v>2</v>
      </c>
      <c r="K2040" s="14" t="str">
        <f t="shared" ref="K2040:K2041" si="385">HYPERLINK("http://twitter.com","Twitter Web Client")</f>
        <v>Twitter Web Client</v>
      </c>
      <c r="L2040" s="13">
        <v>798</v>
      </c>
      <c r="M2040" s="13">
        <v>1165</v>
      </c>
      <c r="N2040" s="13">
        <v>16</v>
      </c>
      <c r="O2040" s="15"/>
      <c r="P2040" s="6">
        <v>40631.269189814819</v>
      </c>
      <c r="Q2040" s="17" t="s">
        <v>356</v>
      </c>
      <c r="R2040" s="16" t="s">
        <v>357</v>
      </c>
      <c r="S2040" s="11" t="s">
        <v>358</v>
      </c>
      <c r="T2040" s="12"/>
      <c r="U2040" s="10" t="str">
        <f>HYPERLINK("https://pbs.twimg.com/profile_images/960372546393837569/o7y23nco.jpg","View")</f>
        <v>View</v>
      </c>
    </row>
    <row r="2041" spans="1:21" ht="20.399999999999999">
      <c r="A2041" s="6">
        <v>43422.45579861111</v>
      </c>
      <c r="B2041" s="7" t="str">
        <f>HYPERLINK("https://twitter.com/DiazDiazosc","@DiazDiazosc")</f>
        <v>@DiazDiazosc</v>
      </c>
      <c r="C2041" s="8" t="s">
        <v>7022</v>
      </c>
      <c r="D2041" s="9" t="s">
        <v>5246</v>
      </c>
      <c r="E2041" s="10" t="str">
        <f>HYPERLINK("https://twitter.com/DiazDiazosc/status/1064230847639883777","1064230847639883777")</f>
        <v>1064230847639883777</v>
      </c>
      <c r="F2041" s="11" t="s">
        <v>4961</v>
      </c>
      <c r="G2041" s="12"/>
      <c r="H2041" s="12"/>
      <c r="I2041" s="13">
        <v>0</v>
      </c>
      <c r="J2041" s="13">
        <v>0</v>
      </c>
      <c r="K2041" s="14" t="str">
        <f t="shared" si="385"/>
        <v>Twitter Web Client</v>
      </c>
      <c r="L2041" s="13">
        <v>189</v>
      </c>
      <c r="M2041" s="13">
        <v>494</v>
      </c>
      <c r="N2041" s="13">
        <v>0</v>
      </c>
      <c r="O2041" s="15"/>
      <c r="P2041" s="6">
        <v>42606.622546296298</v>
      </c>
      <c r="Q2041" s="12"/>
      <c r="R2041" s="18"/>
      <c r="S2041" s="12"/>
      <c r="T2041" s="12"/>
      <c r="U2041" s="10" t="str">
        <f>HYPERLINK("https://pbs.twimg.com/profile_images/791775960085528576/uQct0tW7.jpg","View")</f>
        <v>View</v>
      </c>
    </row>
    <row r="2042" spans="1:21" ht="13.2">
      <c r="A2042" s="6">
        <v>43422.45521990741</v>
      </c>
      <c r="B2042" s="7" t="str">
        <f>HYPERLINK("https://twitter.com/Francis02653143","@Francis02653143")</f>
        <v>@Francis02653143</v>
      </c>
      <c r="C2042" s="8" t="s">
        <v>7023</v>
      </c>
      <c r="D2042" s="9" t="s">
        <v>6185</v>
      </c>
      <c r="E2042" s="10" t="str">
        <f>HYPERLINK("https://twitter.com/Francis02653143/status/1064230639229169665","1064230639229169665")</f>
        <v>1064230639229169665</v>
      </c>
      <c r="F2042" s="11" t="s">
        <v>5997</v>
      </c>
      <c r="G2042" s="12"/>
      <c r="H2042" s="12"/>
      <c r="I2042" s="13">
        <v>0</v>
      </c>
      <c r="J2042" s="13">
        <v>0</v>
      </c>
      <c r="K2042" s="14" t="str">
        <f>HYPERLINK("http://twitter.com/download/android","Twitter for Android")</f>
        <v>Twitter for Android</v>
      </c>
      <c r="L2042" s="13">
        <v>59</v>
      </c>
      <c r="M2042" s="13">
        <v>162</v>
      </c>
      <c r="N2042" s="13">
        <v>0</v>
      </c>
      <c r="O2042" s="15"/>
      <c r="P2042" s="6">
        <v>43352.190821759257</v>
      </c>
      <c r="Q2042" s="12"/>
      <c r="R2042" s="18"/>
      <c r="S2042" s="12"/>
      <c r="T2042" s="12"/>
      <c r="U2042" s="10" t="str">
        <f>HYPERLINK("https://pbs.twimg.com/profile_images/1038753365256224775/_6apA2wZ.jpg","View")</f>
        <v>View</v>
      </c>
    </row>
    <row r="2043" spans="1:21" ht="20.399999999999999">
      <c r="A2043" s="6">
        <v>43422.453217592592</v>
      </c>
      <c r="B2043" s="7" t="str">
        <f>HYPERLINK("https://twitter.com/polilla1949","@polilla1949")</f>
        <v>@polilla1949</v>
      </c>
      <c r="C2043" s="8" t="s">
        <v>7024</v>
      </c>
      <c r="D2043" s="9" t="s">
        <v>7025</v>
      </c>
      <c r="E2043" s="10" t="str">
        <f>HYPERLINK("https://twitter.com/polilla1949/status/1064229914151436290","1064229914151436290")</f>
        <v>1064229914151436290</v>
      </c>
      <c r="F2043" s="11" t="s">
        <v>5715</v>
      </c>
      <c r="G2043" s="12"/>
      <c r="H2043" s="12"/>
      <c r="I2043" s="13">
        <v>2</v>
      </c>
      <c r="J2043" s="13">
        <v>5</v>
      </c>
      <c r="K2043" s="14" t="str">
        <f>HYPERLINK("http://twitter.com/#!/download/ipad","Twitter for iPad")</f>
        <v>Twitter for iPad</v>
      </c>
      <c r="L2043" s="13">
        <v>5141</v>
      </c>
      <c r="M2043" s="13">
        <v>4715</v>
      </c>
      <c r="N2043" s="13">
        <v>0</v>
      </c>
      <c r="O2043" s="15"/>
      <c r="P2043" s="6">
        <v>41503.531284722223</v>
      </c>
      <c r="Q2043" s="17" t="s">
        <v>29</v>
      </c>
      <c r="R2043" s="16" t="s">
        <v>7026</v>
      </c>
      <c r="S2043" s="12"/>
      <c r="T2043" s="12"/>
      <c r="U2043" s="10" t="str">
        <f>HYPERLINK("https://pbs.twimg.com/profile_images/940293100949270528/Koo_yb7L.jpg","View")</f>
        <v>View</v>
      </c>
    </row>
    <row r="2044" spans="1:21" ht="51">
      <c r="A2044" s="6">
        <v>43422.452604166669</v>
      </c>
      <c r="B2044" s="7" t="str">
        <f>HYPERLINK("https://twitter.com/MArroyoDPF","@MArroyoDPF")</f>
        <v>@MArroyoDPF</v>
      </c>
      <c r="C2044" s="8" t="s">
        <v>481</v>
      </c>
      <c r="D2044" s="9" t="s">
        <v>7027</v>
      </c>
      <c r="E2044" s="10" t="str">
        <f>HYPERLINK("https://twitter.com/MArroyoDPF/status/1064229689621831680","1064229689621831680")</f>
        <v>1064229689621831680</v>
      </c>
      <c r="F2044" s="11" t="s">
        <v>5479</v>
      </c>
      <c r="G2044" s="12"/>
      <c r="H2044" s="12"/>
      <c r="I2044" s="13">
        <v>0</v>
      </c>
      <c r="J2044" s="13">
        <v>0</v>
      </c>
      <c r="K2044" s="14" t="str">
        <f>HYPERLINK("http://twitter.com","Twitter Web Client")</f>
        <v>Twitter Web Client</v>
      </c>
      <c r="L2044" s="13">
        <v>103</v>
      </c>
      <c r="M2044" s="13">
        <v>114</v>
      </c>
      <c r="N2044" s="13">
        <v>16</v>
      </c>
      <c r="O2044" s="15"/>
      <c r="P2044" s="6">
        <v>41774.682291666664</v>
      </c>
      <c r="Q2044" s="12"/>
      <c r="R2044" s="16" t="s">
        <v>485</v>
      </c>
      <c r="S2044" s="12"/>
      <c r="T2044" s="12"/>
      <c r="U2044" s="10" t="str">
        <f>HYPERLINK("https://pbs.twimg.com/profile_images/468161216582389760/2GQGeo9b.jpeg","View")</f>
        <v>View</v>
      </c>
    </row>
    <row r="2045" spans="1:21" ht="51">
      <c r="A2045" s="6">
        <v>43422.451238425929</v>
      </c>
      <c r="B2045" s="7" t="str">
        <f>HYPERLINK("https://twitter.com/El__Yayo","@El__Yayo")</f>
        <v>@El__Yayo</v>
      </c>
      <c r="C2045" s="8" t="s">
        <v>7028</v>
      </c>
      <c r="D2045" s="9" t="s">
        <v>7029</v>
      </c>
      <c r="E2045" s="10" t="str">
        <f>HYPERLINK("https://twitter.com/El__Yayo/status/1064229198322171906","1064229198322171906")</f>
        <v>1064229198322171906</v>
      </c>
      <c r="F2045" s="17" t="s">
        <v>7030</v>
      </c>
      <c r="G2045" s="12"/>
      <c r="H2045" s="12"/>
      <c r="I2045" s="13">
        <v>2</v>
      </c>
      <c r="J2045" s="13">
        <v>10</v>
      </c>
      <c r="K2045" s="14" t="str">
        <f>HYPERLINK("http://twitter.com/download/android","Twitter for Android")</f>
        <v>Twitter for Android</v>
      </c>
      <c r="L2045" s="13">
        <v>7751</v>
      </c>
      <c r="M2045" s="13">
        <v>844</v>
      </c>
      <c r="N2045" s="13">
        <v>182</v>
      </c>
      <c r="O2045" s="15"/>
      <c r="P2045" s="6">
        <v>40690.524641203701</v>
      </c>
      <c r="Q2045" s="12"/>
      <c r="R2045" s="16" t="s">
        <v>7031</v>
      </c>
      <c r="S2045" s="12"/>
      <c r="T2045" s="12"/>
      <c r="U2045" s="10" t="str">
        <f>HYPERLINK("https://pbs.twimg.com/profile_images/1057994829773369349/atz2vtIY.jpg","View")</f>
        <v>View</v>
      </c>
    </row>
    <row r="2046" spans="1:21" ht="30.6">
      <c r="A2046" s="6">
        <v>43422.449363425927</v>
      </c>
      <c r="B2046" s="7" t="str">
        <f>HYPERLINK("https://twitter.com/MARACAY24HRS","@MARACAY24HRS")</f>
        <v>@MARACAY24HRS</v>
      </c>
      <c r="C2046" s="8" t="s">
        <v>7032</v>
      </c>
      <c r="D2046" s="9" t="s">
        <v>7033</v>
      </c>
      <c r="E2046" s="10" t="str">
        <f>HYPERLINK("https://twitter.com/MARACAY24HRS/status/1064228518463078401","1064228518463078401")</f>
        <v>1064228518463078401</v>
      </c>
      <c r="F2046" s="11" t="s">
        <v>7034</v>
      </c>
      <c r="G2046" s="12"/>
      <c r="H2046" s="12"/>
      <c r="I2046" s="13">
        <v>0</v>
      </c>
      <c r="J2046" s="13">
        <v>0</v>
      </c>
      <c r="K2046" s="14" t="str">
        <f>HYPERLINK("https://dlvrit.com/","dlvr.it")</f>
        <v>dlvr.it</v>
      </c>
      <c r="L2046" s="13">
        <v>8276</v>
      </c>
      <c r="M2046" s="13">
        <v>7027</v>
      </c>
      <c r="N2046" s="13">
        <v>51</v>
      </c>
      <c r="O2046" s="15"/>
      <c r="P2046" s="6">
        <v>40967.658148148148</v>
      </c>
      <c r="Q2046" s="17" t="s">
        <v>7035</v>
      </c>
      <c r="R2046" s="16" t="s">
        <v>7036</v>
      </c>
      <c r="S2046" s="12"/>
      <c r="T2046" s="12"/>
      <c r="U2046" s="10" t="str">
        <f>HYPERLINK("https://pbs.twimg.com/profile_images/3154547769/6429525b9fba326a60ab0010d2fb154d.jpeg","View")</f>
        <v>View</v>
      </c>
    </row>
    <row r="2047" spans="1:21" ht="30.6">
      <c r="A2047" s="6">
        <v>43422.448865740742</v>
      </c>
      <c r="B2047" s="7" t="str">
        <f>HYPERLINK("https://twitter.com/albertrotsky69","@albertrotsky69")</f>
        <v>@albertrotsky69</v>
      </c>
      <c r="C2047" s="8" t="s">
        <v>7037</v>
      </c>
      <c r="D2047" s="9" t="s">
        <v>7038</v>
      </c>
      <c r="E2047" s="10" t="str">
        <f>HYPERLINK("https://twitter.com/albertrotsky69/status/1064228338594500608","1064228338594500608")</f>
        <v>1064228338594500608</v>
      </c>
      <c r="F2047" s="11" t="s">
        <v>7039</v>
      </c>
      <c r="G2047" s="11" t="s">
        <v>7040</v>
      </c>
      <c r="H2047" s="12"/>
      <c r="I2047" s="13">
        <v>1</v>
      </c>
      <c r="J2047" s="13">
        <v>1</v>
      </c>
      <c r="K2047" s="14" t="str">
        <f>HYPERLINK("http://twitter.com/download/android","Twitter for Android")</f>
        <v>Twitter for Android</v>
      </c>
      <c r="L2047" s="13">
        <v>3841</v>
      </c>
      <c r="M2047" s="13">
        <v>3843</v>
      </c>
      <c r="N2047" s="13">
        <v>2</v>
      </c>
      <c r="O2047" s="15"/>
      <c r="P2047" s="6">
        <v>42899.090532407412</v>
      </c>
      <c r="Q2047" s="17" t="s">
        <v>7041</v>
      </c>
      <c r="R2047" s="16" t="s">
        <v>7042</v>
      </c>
      <c r="S2047" s="12"/>
      <c r="T2047" s="12"/>
      <c r="U2047" s="10" t="str">
        <f>HYPERLINK("https://pbs.twimg.com/profile_images/1064249053330984960/mUvVCmhN.jpg","View")</f>
        <v>View</v>
      </c>
    </row>
    <row r="2048" spans="1:21" ht="40.799999999999997">
      <c r="A2048" s="6">
        <v>43422.44767361111</v>
      </c>
      <c r="B2048" s="7" t="str">
        <f>HYPERLINK("https://twitter.com/Echelon_43","@Echelon_43")</f>
        <v>@Echelon_43</v>
      </c>
      <c r="C2048" s="8" t="s">
        <v>2271</v>
      </c>
      <c r="D2048" s="9" t="s">
        <v>7043</v>
      </c>
      <c r="E2048" s="10" t="str">
        <f>HYPERLINK("https://twitter.com/Echelon_43/status/1064227906401067010","1064227906401067010")</f>
        <v>1064227906401067010</v>
      </c>
      <c r="F2048" s="11" t="s">
        <v>5715</v>
      </c>
      <c r="G2048" s="12"/>
      <c r="H2048" s="12"/>
      <c r="I2048" s="13">
        <v>0</v>
      </c>
      <c r="J2048" s="13">
        <v>0</v>
      </c>
      <c r="K2048" s="14" t="str">
        <f t="shared" ref="K2048:K2049" si="386">HYPERLINK("http://twitter.com","Twitter Web Client")</f>
        <v>Twitter Web Client</v>
      </c>
      <c r="L2048" s="13">
        <v>896</v>
      </c>
      <c r="M2048" s="13">
        <v>193</v>
      </c>
      <c r="N2048" s="13">
        <v>65</v>
      </c>
      <c r="O2048" s="15"/>
      <c r="P2048" s="6">
        <v>40751.18037037037</v>
      </c>
      <c r="Q2048" s="17" t="s">
        <v>26</v>
      </c>
      <c r="R2048" s="16" t="s">
        <v>2272</v>
      </c>
      <c r="S2048" s="12"/>
      <c r="T2048" s="12"/>
      <c r="U2048" s="10" t="str">
        <f>HYPERLINK("https://pbs.twimg.com/profile_images/921723596594143233/wkqlrmwK.jpg","View")</f>
        <v>View</v>
      </c>
    </row>
    <row r="2049" spans="1:21" ht="40.799999999999997">
      <c r="A2049" s="6">
        <v>43422.447499999995</v>
      </c>
      <c r="B2049" s="7" t="str">
        <f>HYPERLINK("https://twitter.com/Mary_Paz_100","@Mary_Paz_100")</f>
        <v>@Mary_Paz_100</v>
      </c>
      <c r="C2049" s="8" t="s">
        <v>7044</v>
      </c>
      <c r="D2049" s="9" t="s">
        <v>4019</v>
      </c>
      <c r="E2049" s="10" t="str">
        <f>HYPERLINK("https://twitter.com/Mary_Paz_100/status/1064227840160227328","1064227840160227328")</f>
        <v>1064227840160227328</v>
      </c>
      <c r="F2049" s="11" t="s">
        <v>6822</v>
      </c>
      <c r="G2049" s="12"/>
      <c r="H2049" s="12"/>
      <c r="I2049" s="13">
        <v>0</v>
      </c>
      <c r="J2049" s="13">
        <v>0</v>
      </c>
      <c r="K2049" s="14" t="str">
        <f t="shared" si="386"/>
        <v>Twitter Web Client</v>
      </c>
      <c r="L2049" s="13">
        <v>344</v>
      </c>
      <c r="M2049" s="13">
        <v>2031</v>
      </c>
      <c r="N2049" s="13">
        <v>0</v>
      </c>
      <c r="O2049" s="15"/>
      <c r="P2049" s="6">
        <v>43216.371076388888</v>
      </c>
      <c r="Q2049" s="12"/>
      <c r="R2049" s="16" t="s">
        <v>7045</v>
      </c>
      <c r="S2049" s="12"/>
      <c r="T2049" s="12"/>
      <c r="U2049" s="10" t="str">
        <f>HYPERLINK("https://pbs.twimg.com/profile_images/989607233855066124/Io73FKRC.jpg","View")</f>
        <v>View</v>
      </c>
    </row>
    <row r="2050" spans="1:21" ht="61.2">
      <c r="A2050" s="6">
        <v>43422.447141203702</v>
      </c>
      <c r="B2050" s="7" t="str">
        <f>HYPERLINK("https://twitter.com/Isirpal","@Isirpal")</f>
        <v>@Isirpal</v>
      </c>
      <c r="C2050" s="8" t="s">
        <v>7046</v>
      </c>
      <c r="D2050" s="9" t="s">
        <v>7047</v>
      </c>
      <c r="E2050" s="10" t="str">
        <f>HYPERLINK("https://twitter.com/Isirpal/status/1064227711219056640","1064227711219056640")</f>
        <v>1064227711219056640</v>
      </c>
      <c r="F2050" s="17" t="s">
        <v>446</v>
      </c>
      <c r="G2050" s="12"/>
      <c r="H2050" s="12"/>
      <c r="I2050" s="13">
        <v>1</v>
      </c>
      <c r="J2050" s="13">
        <v>1</v>
      </c>
      <c r="K2050" s="14" t="str">
        <f t="shared" ref="K2050:K2052" si="387">HYPERLINK("http://twitter.com/download/android","Twitter for Android")</f>
        <v>Twitter for Android</v>
      </c>
      <c r="L2050" s="13">
        <v>1225</v>
      </c>
      <c r="M2050" s="13">
        <v>824</v>
      </c>
      <c r="N2050" s="13">
        <v>16</v>
      </c>
      <c r="O2050" s="15"/>
      <c r="P2050" s="6">
        <v>41793.045451388891</v>
      </c>
      <c r="Q2050" s="17" t="s">
        <v>7048</v>
      </c>
      <c r="R2050" s="16" t="s">
        <v>7049</v>
      </c>
      <c r="S2050" s="12"/>
      <c r="T2050" s="12"/>
      <c r="U2050" s="10" t="str">
        <f>HYPERLINK("https://pbs.twimg.com/profile_images/992497268573065218/zmGhmDYV.jpg","View")</f>
        <v>View</v>
      </c>
    </row>
    <row r="2051" spans="1:21" ht="81.599999999999994">
      <c r="A2051" s="6">
        <v>43422.443530092598</v>
      </c>
      <c r="B2051" s="7" t="str">
        <f>HYPERLINK("https://twitter.com/Arredeeemo","@Arredeeemo")</f>
        <v>@Arredeeemo</v>
      </c>
      <c r="C2051" s="8" t="s">
        <v>2497</v>
      </c>
      <c r="D2051" s="9" t="s">
        <v>7050</v>
      </c>
      <c r="E2051" s="10" t="str">
        <f>HYPERLINK("https://twitter.com/Arredeeemo/status/1064226400926867456","1064226400926867456")</f>
        <v>1064226400926867456</v>
      </c>
      <c r="F2051" s="11" t="s">
        <v>7051</v>
      </c>
      <c r="G2051" s="11" t="s">
        <v>7052</v>
      </c>
      <c r="H2051" s="12"/>
      <c r="I2051" s="13">
        <v>3</v>
      </c>
      <c r="J2051" s="13">
        <v>4</v>
      </c>
      <c r="K2051" s="14" t="str">
        <f t="shared" si="387"/>
        <v>Twitter for Android</v>
      </c>
      <c r="L2051" s="13">
        <v>2061</v>
      </c>
      <c r="M2051" s="13">
        <v>1820</v>
      </c>
      <c r="N2051" s="13">
        <v>34</v>
      </c>
      <c r="O2051" s="15"/>
      <c r="P2051" s="6">
        <v>40672.380428240736</v>
      </c>
      <c r="Q2051" s="12"/>
      <c r="R2051" s="16" t="s">
        <v>7053</v>
      </c>
      <c r="S2051" s="12"/>
      <c r="T2051" s="12"/>
      <c r="U2051" s="10" t="str">
        <f>HYPERLINK("https://pbs.twimg.com/profile_images/1065600338592481280/F4UfI5dW.jpg","View")</f>
        <v>View</v>
      </c>
    </row>
    <row r="2052" spans="1:21" ht="30.6">
      <c r="A2052" s="6">
        <v>43422.441967592589</v>
      </c>
      <c r="B2052" s="7" t="str">
        <f>HYPERLINK("https://twitter.com/gortiz48","@gortiz48")</f>
        <v>@gortiz48</v>
      </c>
      <c r="C2052" s="8" t="s">
        <v>7054</v>
      </c>
      <c r="D2052" s="9" t="s">
        <v>7055</v>
      </c>
      <c r="E2052" s="10" t="str">
        <f>HYPERLINK("https://twitter.com/gortiz48/status/1064225837103370242","1064225837103370242")</f>
        <v>1064225837103370242</v>
      </c>
      <c r="F2052" s="11" t="s">
        <v>4948</v>
      </c>
      <c r="G2052" s="12"/>
      <c r="H2052" s="12"/>
      <c r="I2052" s="13">
        <v>0</v>
      </c>
      <c r="J2052" s="13">
        <v>0</v>
      </c>
      <c r="K2052" s="14" t="str">
        <f t="shared" si="387"/>
        <v>Twitter for Android</v>
      </c>
      <c r="L2052" s="13">
        <v>6003</v>
      </c>
      <c r="M2052" s="13">
        <v>5252</v>
      </c>
      <c r="N2052" s="13">
        <v>43</v>
      </c>
      <c r="O2052" s="15"/>
      <c r="P2052" s="6">
        <v>40863.429722222223</v>
      </c>
      <c r="Q2052" s="17" t="s">
        <v>29</v>
      </c>
      <c r="R2052" s="16" t="s">
        <v>7056</v>
      </c>
      <c r="S2052" s="12"/>
      <c r="T2052" s="12"/>
      <c r="U2052" s="10" t="str">
        <f>HYPERLINK("https://pbs.twimg.com/profile_images/1019482606084206592/h-Tt3p_F.jpg","View")</f>
        <v>View</v>
      </c>
    </row>
    <row r="2053" spans="1:21" ht="13.2">
      <c r="A2053" s="6">
        <v>43422.441620370373</v>
      </c>
      <c r="B2053" s="7" t="str">
        <f>HYPERLINK("https://twitter.com/SaraBBellamy","@SaraBBellamy")</f>
        <v>@SaraBBellamy</v>
      </c>
      <c r="C2053" s="8" t="s">
        <v>7057</v>
      </c>
      <c r="D2053" s="9" t="s">
        <v>7058</v>
      </c>
      <c r="E2053" s="10" t="str">
        <f>HYPERLINK("https://twitter.com/SaraBBellamy/status/1064225710972329985","1064225710972329985")</f>
        <v>1064225710972329985</v>
      </c>
      <c r="F2053" s="12"/>
      <c r="G2053" s="12"/>
      <c r="H2053" s="12"/>
      <c r="I2053" s="13">
        <v>0</v>
      </c>
      <c r="J2053" s="13">
        <v>3</v>
      </c>
      <c r="K2053" s="14" t="str">
        <f>HYPERLINK("http://twitter.com/download/iphone","Twitter for iPhone")</f>
        <v>Twitter for iPhone</v>
      </c>
      <c r="L2053" s="13">
        <v>373</v>
      </c>
      <c r="M2053" s="13">
        <v>110</v>
      </c>
      <c r="N2053" s="13">
        <v>3</v>
      </c>
      <c r="O2053" s="15"/>
      <c r="P2053" s="6">
        <v>41181.345069444447</v>
      </c>
      <c r="Q2053" s="17" t="s">
        <v>7059</v>
      </c>
      <c r="R2053" s="16" t="s">
        <v>7060</v>
      </c>
      <c r="S2053" s="12"/>
      <c r="T2053" s="12"/>
      <c r="U2053" s="10" t="str">
        <f>HYPERLINK("https://pbs.twimg.com/profile_images/1064947285216452608/Yj0zHouL.jpg","View")</f>
        <v>View</v>
      </c>
    </row>
    <row r="2054" spans="1:21" ht="20.399999999999999">
      <c r="A2054" s="6">
        <v>43422.439074074078</v>
      </c>
      <c r="B2054" s="7" t="str">
        <f>HYPERLINK("https://twitter.com/j0n0r0","@j0n0r0")</f>
        <v>@j0n0r0</v>
      </c>
      <c r="C2054" s="8" t="s">
        <v>7061</v>
      </c>
      <c r="D2054" s="9" t="s">
        <v>7062</v>
      </c>
      <c r="E2054" s="10" t="str">
        <f>HYPERLINK("https://twitter.com/j0n0r0/status/1064224790037303296","1064224790037303296")</f>
        <v>1064224790037303296</v>
      </c>
      <c r="F2054" s="11" t="s">
        <v>4961</v>
      </c>
      <c r="G2054" s="12"/>
      <c r="H2054" s="12"/>
      <c r="I2054" s="13">
        <v>0</v>
      </c>
      <c r="J2054" s="13">
        <v>0</v>
      </c>
      <c r="K2054" s="14" t="str">
        <f>HYPERLINK("http://twitter.com/download/android","Twitter for Android")</f>
        <v>Twitter for Android</v>
      </c>
      <c r="L2054" s="13">
        <v>165</v>
      </c>
      <c r="M2054" s="13">
        <v>294</v>
      </c>
      <c r="N2054" s="13">
        <v>7</v>
      </c>
      <c r="O2054" s="15"/>
      <c r="P2054" s="6">
        <v>41787.324270833335</v>
      </c>
      <c r="Q2054" s="17" t="s">
        <v>7063</v>
      </c>
      <c r="R2054" s="16" t="s">
        <v>7064</v>
      </c>
      <c r="S2054" s="12"/>
      <c r="T2054" s="12"/>
      <c r="U2054" s="10" t="str">
        <f>HYPERLINK("https://pbs.twimg.com/profile_images/883822640808558592/Jvx_-5VQ.jpg","View")</f>
        <v>View</v>
      </c>
    </row>
    <row r="2055" spans="1:21" ht="51">
      <c r="A2055" s="6">
        <v>43422.438541666663</v>
      </c>
      <c r="B2055" s="7" t="str">
        <f>HYPERLINK("https://twitter.com/elsalinas95","@elsalinas95")</f>
        <v>@elsalinas95</v>
      </c>
      <c r="C2055" s="8" t="s">
        <v>7065</v>
      </c>
      <c r="D2055" s="9" t="s">
        <v>7066</v>
      </c>
      <c r="E2055" s="10" t="str">
        <f>HYPERLINK("https://twitter.com/elsalinas95/status/1064224596226949121","1064224596226949121")</f>
        <v>1064224596226949121</v>
      </c>
      <c r="F2055" s="12"/>
      <c r="G2055" s="12"/>
      <c r="H2055" s="12"/>
      <c r="I2055" s="13">
        <v>0</v>
      </c>
      <c r="J2055" s="13">
        <v>0</v>
      </c>
      <c r="K2055" s="14" t="str">
        <f>HYPERLINK("http://twitter.com","Twitter Web Client")</f>
        <v>Twitter Web Client</v>
      </c>
      <c r="L2055" s="13">
        <v>404</v>
      </c>
      <c r="M2055" s="13">
        <v>943</v>
      </c>
      <c r="N2055" s="13">
        <v>34</v>
      </c>
      <c r="O2055" s="15"/>
      <c r="P2055" s="6">
        <v>40751.25545138889</v>
      </c>
      <c r="Q2055" s="17" t="s">
        <v>7067</v>
      </c>
      <c r="R2055" s="16" t="s">
        <v>7068</v>
      </c>
      <c r="S2055" s="12"/>
      <c r="T2055" s="12"/>
      <c r="U2055" s="10" t="str">
        <f>HYPERLINK("https://pbs.twimg.com/profile_images/995016476699561985/AKuRFVeL.jpg","View")</f>
        <v>View</v>
      </c>
    </row>
    <row r="2056" spans="1:21" ht="40.799999999999997">
      <c r="A2056" s="6">
        <v>43422.437685185185</v>
      </c>
      <c r="B2056" s="7" t="str">
        <f>HYPERLINK("https://twitter.com/diariodejerez","@diariodejerez")</f>
        <v>@diariodejerez</v>
      </c>
      <c r="C2056" s="8" t="s">
        <v>2121</v>
      </c>
      <c r="D2056" s="9" t="s">
        <v>7069</v>
      </c>
      <c r="E2056" s="10" t="str">
        <f>HYPERLINK("https://twitter.com/diariodejerez/status/1064224285110222850","1064224285110222850")</f>
        <v>1064224285110222850</v>
      </c>
      <c r="F2056" s="11" t="s">
        <v>7070</v>
      </c>
      <c r="G2056" s="12"/>
      <c r="H2056" s="12"/>
      <c r="I2056" s="13">
        <v>0</v>
      </c>
      <c r="J2056" s="13">
        <v>1</v>
      </c>
      <c r="K2056" s="14" t="str">
        <f>HYPERLINK("http://dogtrack.es","DogTrack_Oficial")</f>
        <v>DogTrack_Oficial</v>
      </c>
      <c r="L2056" s="13">
        <v>16273</v>
      </c>
      <c r="M2056" s="13">
        <v>11</v>
      </c>
      <c r="N2056" s="13">
        <v>278</v>
      </c>
      <c r="O2056" s="15"/>
      <c r="P2056" s="6">
        <v>40582.056689814817</v>
      </c>
      <c r="Q2056" s="17" t="s">
        <v>2123</v>
      </c>
      <c r="R2056" s="16" t="s">
        <v>2124</v>
      </c>
      <c r="S2056" s="11" t="s">
        <v>2125</v>
      </c>
      <c r="T2056" s="12"/>
      <c r="U2056" s="10" t="str">
        <f>HYPERLINK("https://pbs.twimg.com/profile_images/931157158053412864/5WRXsKKP.jpg","View")</f>
        <v>View</v>
      </c>
    </row>
    <row r="2057" spans="1:21" ht="30.6">
      <c r="A2057" s="6">
        <v>43422.4371875</v>
      </c>
      <c r="B2057" s="7" t="str">
        <f>HYPERLINK("https://twitter.com/pableras612","@pableras612")</f>
        <v>@pableras612</v>
      </c>
      <c r="C2057" s="8" t="s">
        <v>7071</v>
      </c>
      <c r="D2057" s="9" t="s">
        <v>7072</v>
      </c>
      <c r="E2057" s="10" t="str">
        <f>HYPERLINK("https://twitter.com/pableras612/status/1064224102460911618","1064224102460911618")</f>
        <v>1064224102460911618</v>
      </c>
      <c r="F2057" s="12"/>
      <c r="G2057" s="12"/>
      <c r="H2057" s="12"/>
      <c r="I2057" s="13">
        <v>0</v>
      </c>
      <c r="J2057" s="13">
        <v>2</v>
      </c>
      <c r="K2057" s="14" t="str">
        <f>HYPERLINK("http://twitter.com/download/android","Twitter for Android")</f>
        <v>Twitter for Android</v>
      </c>
      <c r="L2057" s="13">
        <v>182</v>
      </c>
      <c r="M2057" s="13">
        <v>189</v>
      </c>
      <c r="N2057" s="13">
        <v>4</v>
      </c>
      <c r="O2057" s="15"/>
      <c r="P2057" s="6">
        <v>41290.994479166664</v>
      </c>
      <c r="Q2057" s="17" t="s">
        <v>1796</v>
      </c>
      <c r="R2057" s="16" t="s">
        <v>7073</v>
      </c>
      <c r="S2057" s="11" t="s">
        <v>7074</v>
      </c>
      <c r="T2057" s="12"/>
      <c r="U2057" s="10" t="str">
        <f>HYPERLINK("https://pbs.twimg.com/profile_images/669569048955473923/q4c2WhHE.jpg","View")</f>
        <v>View</v>
      </c>
    </row>
    <row r="2058" spans="1:21" ht="20.399999999999999">
      <c r="A2058" s="6">
        <v>43422.436874999999</v>
      </c>
      <c r="B2058" s="7" t="str">
        <f>HYPERLINK("https://twitter.com/marioregueira","@marioregueira")</f>
        <v>@marioregueira</v>
      </c>
      <c r="C2058" s="8" t="s">
        <v>7075</v>
      </c>
      <c r="D2058" s="9" t="s">
        <v>7076</v>
      </c>
      <c r="E2058" s="10" t="str">
        <f>HYPERLINK("https://twitter.com/marioregueira/status/1064223992062586882","1064223992062586882")</f>
        <v>1064223992062586882</v>
      </c>
      <c r="F2058" s="11" t="s">
        <v>5997</v>
      </c>
      <c r="G2058" s="12"/>
      <c r="H2058" s="12"/>
      <c r="I2058" s="13">
        <v>0</v>
      </c>
      <c r="J2058" s="13">
        <v>2</v>
      </c>
      <c r="K2058" s="14" t="str">
        <f>HYPERLINK("http://twitter.com","Twitter Web Client")</f>
        <v>Twitter Web Client</v>
      </c>
      <c r="L2058" s="13">
        <v>1830</v>
      </c>
      <c r="M2058" s="13">
        <v>1082</v>
      </c>
      <c r="N2058" s="13">
        <v>42</v>
      </c>
      <c r="O2058" s="15"/>
      <c r="P2058" s="6">
        <v>40253.475439814814</v>
      </c>
      <c r="Q2058" s="17" t="s">
        <v>2963</v>
      </c>
      <c r="R2058" s="16" t="s">
        <v>7077</v>
      </c>
      <c r="S2058" s="11" t="s">
        <v>7078</v>
      </c>
      <c r="T2058" s="12"/>
      <c r="U2058" s="10" t="str">
        <f>HYPERLINK("https://pbs.twimg.com/profile_images/1060741534675595264/MIH1bYvy.jpg","View")</f>
        <v>View</v>
      </c>
    </row>
    <row r="2059" spans="1:21" ht="40.799999999999997">
      <c r="A2059" s="6">
        <v>43422.436562499999</v>
      </c>
      <c r="B2059" s="7" t="str">
        <f>HYPERLINK("https://twitter.com/alvaritooo2","@alvaritooo2")</f>
        <v>@alvaritooo2</v>
      </c>
      <c r="C2059" s="8" t="s">
        <v>3904</v>
      </c>
      <c r="D2059" s="9" t="s">
        <v>7079</v>
      </c>
      <c r="E2059" s="10" t="str">
        <f>HYPERLINK("https://twitter.com/alvaritooo2/status/1064223876618641409","1064223876618641409")</f>
        <v>1064223876618641409</v>
      </c>
      <c r="F2059" s="12"/>
      <c r="G2059" s="11" t="s">
        <v>7080</v>
      </c>
      <c r="H2059" s="12"/>
      <c r="I2059" s="13">
        <v>3</v>
      </c>
      <c r="J2059" s="13">
        <v>9</v>
      </c>
      <c r="K2059" s="14" t="str">
        <f>HYPERLINK("http://twitter.com/download/iphone","Twitter for iPhone")</f>
        <v>Twitter for iPhone</v>
      </c>
      <c r="L2059" s="13">
        <v>18420</v>
      </c>
      <c r="M2059" s="13">
        <v>16722</v>
      </c>
      <c r="N2059" s="13">
        <v>132</v>
      </c>
      <c r="O2059" s="15"/>
      <c r="P2059" s="6">
        <v>40675.489861111113</v>
      </c>
      <c r="Q2059" s="17" t="s">
        <v>3907</v>
      </c>
      <c r="R2059" s="16" t="s">
        <v>3908</v>
      </c>
      <c r="S2059" s="12"/>
      <c r="T2059" s="12"/>
      <c r="U2059" s="10" t="str">
        <f>HYPERLINK("https://pbs.twimg.com/profile_images/1065876339419426816/iClhSaEi.jpg","View")</f>
        <v>View</v>
      </c>
    </row>
    <row r="2060" spans="1:21" ht="30.6">
      <c r="A2060" s="6">
        <v>43422.43440972222</v>
      </c>
      <c r="B2060" s="7" t="str">
        <f>HYPERLINK("https://twitter.com/mncerro","@mncerro")</f>
        <v>@mncerro</v>
      </c>
      <c r="C2060" s="8" t="s">
        <v>7081</v>
      </c>
      <c r="D2060" s="9" t="s">
        <v>7082</v>
      </c>
      <c r="E2060" s="10" t="str">
        <f>HYPERLINK("https://twitter.com/mncerro/status/1064223098671718400","1064223098671718400")</f>
        <v>1064223098671718400</v>
      </c>
      <c r="F2060" s="12"/>
      <c r="G2060" s="12"/>
      <c r="H2060" s="12"/>
      <c r="I2060" s="13">
        <v>0</v>
      </c>
      <c r="J2060" s="13">
        <v>0</v>
      </c>
      <c r="K2060" s="14" t="str">
        <f>HYPERLINK("http://twitter.com/download/android","Twitter for Android")</f>
        <v>Twitter for Android</v>
      </c>
      <c r="L2060" s="13">
        <v>231</v>
      </c>
      <c r="M2060" s="13">
        <v>629</v>
      </c>
      <c r="N2060" s="13">
        <v>6</v>
      </c>
      <c r="O2060" s="15"/>
      <c r="P2060" s="6">
        <v>40649.70684027778</v>
      </c>
      <c r="Q2060" s="17" t="s">
        <v>7083</v>
      </c>
      <c r="R2060" s="16" t="s">
        <v>7084</v>
      </c>
      <c r="S2060" s="12"/>
      <c r="T2060" s="12"/>
      <c r="U2060" s="10" t="str">
        <f>HYPERLINK("https://pbs.twimg.com/profile_images/1057710133181079552/oSaVx-M_.jpg","View")</f>
        <v>View</v>
      </c>
    </row>
    <row r="2061" spans="1:21" ht="20.399999999999999">
      <c r="A2061" s="6">
        <v>43422.432152777779</v>
      </c>
      <c r="B2061" s="7" t="str">
        <f>HYPERLINK("https://twitter.com/huelvaya","@huelvaya")</f>
        <v>@huelvaya</v>
      </c>
      <c r="C2061" s="8" t="s">
        <v>7085</v>
      </c>
      <c r="D2061" s="9" t="s">
        <v>7086</v>
      </c>
      <c r="E2061" s="10" t="str">
        <f>HYPERLINK("https://twitter.com/huelvaya/status/1064222278794321921","1064222278794321921")</f>
        <v>1064222278794321921</v>
      </c>
      <c r="F2061" s="11" t="s">
        <v>7087</v>
      </c>
      <c r="G2061" s="12"/>
      <c r="H2061" s="12"/>
      <c r="I2061" s="13">
        <v>0</v>
      </c>
      <c r="J2061" s="13">
        <v>0</v>
      </c>
      <c r="K2061" s="14" t="str">
        <f>HYPERLINK("http://huelvaya.es/","www.huelvaya.es")</f>
        <v>www.huelvaya.es</v>
      </c>
      <c r="L2061" s="13">
        <v>10014</v>
      </c>
      <c r="M2061" s="13">
        <v>606</v>
      </c>
      <c r="N2061" s="13">
        <v>194</v>
      </c>
      <c r="O2061" s="15"/>
      <c r="P2061" s="6">
        <v>40585.626851851848</v>
      </c>
      <c r="Q2061" s="17" t="s">
        <v>2112</v>
      </c>
      <c r="R2061" s="16" t="s">
        <v>7088</v>
      </c>
      <c r="S2061" s="11" t="s">
        <v>7089</v>
      </c>
      <c r="T2061" s="12"/>
      <c r="U2061" s="10" t="str">
        <f>HYPERLINK("https://pbs.twimg.com/profile_images/3094058405/83835293e7cb1eec1076602cc5007e5c.jpeg","View")</f>
        <v>View</v>
      </c>
    </row>
    <row r="2062" spans="1:21" ht="13.2">
      <c r="A2062" s="6">
        <v>43422.429768518516</v>
      </c>
      <c r="B2062" s="7" t="str">
        <f>HYPERLINK("https://twitter.com/Alber_Olano","@Alber_Olano")</f>
        <v>@Alber_Olano</v>
      </c>
      <c r="C2062" s="8" t="s">
        <v>7090</v>
      </c>
      <c r="D2062" s="9" t="s">
        <v>6185</v>
      </c>
      <c r="E2062" s="10" t="str">
        <f>HYPERLINK("https://twitter.com/Alber_Olano/status/1064221415891714048","1064221415891714048")</f>
        <v>1064221415891714048</v>
      </c>
      <c r="F2062" s="11" t="s">
        <v>5997</v>
      </c>
      <c r="G2062" s="12"/>
      <c r="H2062" s="12"/>
      <c r="I2062" s="13">
        <v>0</v>
      </c>
      <c r="J2062" s="13">
        <v>0</v>
      </c>
      <c r="K2062" s="14" t="str">
        <f>HYPERLINK("http://twitter.com","Twitter Web Client")</f>
        <v>Twitter Web Client</v>
      </c>
      <c r="L2062" s="13">
        <v>408</v>
      </c>
      <c r="M2062" s="13">
        <v>618</v>
      </c>
      <c r="N2062" s="13">
        <v>37</v>
      </c>
      <c r="O2062" s="15"/>
      <c r="P2062" s="6">
        <v>41843.095081018517</v>
      </c>
      <c r="Q2062" s="11" t="s">
        <v>7091</v>
      </c>
      <c r="R2062" s="16" t="s">
        <v>7092</v>
      </c>
      <c r="S2062" s="11" t="s">
        <v>7093</v>
      </c>
      <c r="T2062" s="12"/>
      <c r="U2062" s="10" t="str">
        <f>HYPERLINK("https://pbs.twimg.com/profile_images/555786591021461504/KeFjM3TL.jpeg","View")</f>
        <v>View</v>
      </c>
    </row>
    <row r="2063" spans="1:21" ht="40.799999999999997">
      <c r="A2063" s="6">
        <v>43422.429074074069</v>
      </c>
      <c r="B2063" s="7" t="str">
        <f>HYPERLINK("https://twitter.com/diariosevilla","@diariosevilla")</f>
        <v>@diariosevilla</v>
      </c>
      <c r="C2063" s="8" t="s">
        <v>248</v>
      </c>
      <c r="D2063" s="9" t="s">
        <v>7069</v>
      </c>
      <c r="E2063" s="10" t="str">
        <f>HYPERLINK("https://twitter.com/diariosevilla/status/1064221163205869568","1064221163205869568")</f>
        <v>1064221163205869568</v>
      </c>
      <c r="F2063" s="11" t="s">
        <v>7094</v>
      </c>
      <c r="G2063" s="12"/>
      <c r="H2063" s="12"/>
      <c r="I2063" s="13">
        <v>1</v>
      </c>
      <c r="J2063" s="13">
        <v>0</v>
      </c>
      <c r="K2063" s="14" t="str">
        <f>HYPERLINK("http://dogtrack.es","DogTrack_Oficial")</f>
        <v>DogTrack_Oficial</v>
      </c>
      <c r="L2063" s="13">
        <v>173979</v>
      </c>
      <c r="M2063" s="13">
        <v>528</v>
      </c>
      <c r="N2063" s="13">
        <v>1711</v>
      </c>
      <c r="O2063" s="19" t="s">
        <v>74</v>
      </c>
      <c r="P2063" s="6">
        <v>39925.154039351852</v>
      </c>
      <c r="Q2063" s="17" t="s">
        <v>252</v>
      </c>
      <c r="R2063" s="16" t="s">
        <v>253</v>
      </c>
      <c r="S2063" s="11" t="s">
        <v>254</v>
      </c>
      <c r="T2063" s="12"/>
      <c r="U2063" s="10" t="str">
        <f>HYPERLINK("https://pbs.twimg.com/profile_images/931153789062668288/fJbpOwDZ.jpg","View")</f>
        <v>View</v>
      </c>
    </row>
    <row r="2064" spans="1:21" ht="30.6">
      <c r="A2064" s="6">
        <v>43422.424629629633</v>
      </c>
      <c r="B2064" s="7" t="str">
        <f>HYPERLINK("https://twitter.com/By_RoCaT","@By_RoCaT")</f>
        <v>@By_RoCaT</v>
      </c>
      <c r="C2064" s="8" t="s">
        <v>7095</v>
      </c>
      <c r="D2064" s="9" t="s">
        <v>7096</v>
      </c>
      <c r="E2064" s="10" t="str">
        <f>HYPERLINK("https://twitter.com/By_RoCaT/status/1064219552559566849","1064219552559566849")</f>
        <v>1064219552559566849</v>
      </c>
      <c r="F2064" s="12"/>
      <c r="G2064" s="12"/>
      <c r="H2064" s="12"/>
      <c r="I2064" s="13">
        <v>0</v>
      </c>
      <c r="J2064" s="13">
        <v>0</v>
      </c>
      <c r="K2064" s="14" t="str">
        <f t="shared" ref="K2064:K2065" si="388">HYPERLINK("http://twitter.com/download/iphone","Twitter for iPhone")</f>
        <v>Twitter for iPhone</v>
      </c>
      <c r="L2064" s="13">
        <v>5</v>
      </c>
      <c r="M2064" s="13">
        <v>33</v>
      </c>
      <c r="N2064" s="13">
        <v>0</v>
      </c>
      <c r="O2064" s="15"/>
      <c r="P2064" s="6">
        <v>42419.336192129631</v>
      </c>
      <c r="Q2064" s="12"/>
      <c r="R2064" s="18"/>
      <c r="S2064" s="12"/>
      <c r="T2064" s="12"/>
      <c r="U2064" s="19" t="s">
        <v>368</v>
      </c>
    </row>
    <row r="2065" spans="1:21" ht="40.799999999999997">
      <c r="A2065" s="6">
        <v>43422.424143518518</v>
      </c>
      <c r="B2065" s="7" t="str">
        <f>HYPERLINK("https://twitter.com/republicanoespa","@republicanoespa")</f>
        <v>@republicanoespa</v>
      </c>
      <c r="C2065" s="8" t="s">
        <v>7097</v>
      </c>
      <c r="D2065" s="9" t="s">
        <v>7098</v>
      </c>
      <c r="E2065" s="10" t="str">
        <f>HYPERLINK("https://twitter.com/republicanoespa/status/1064219377627791361","1064219377627791361")</f>
        <v>1064219377627791361</v>
      </c>
      <c r="F2065" s="11" t="s">
        <v>4961</v>
      </c>
      <c r="G2065" s="12"/>
      <c r="H2065" s="12"/>
      <c r="I2065" s="13">
        <v>0</v>
      </c>
      <c r="J2065" s="13">
        <v>0</v>
      </c>
      <c r="K2065" s="14" t="str">
        <f t="shared" si="388"/>
        <v>Twitter for iPhone</v>
      </c>
      <c r="L2065" s="13">
        <v>9676</v>
      </c>
      <c r="M2065" s="13">
        <v>9732</v>
      </c>
      <c r="N2065" s="13">
        <v>52</v>
      </c>
      <c r="O2065" s="15"/>
      <c r="P2065" s="6">
        <v>41330.643113425926</v>
      </c>
      <c r="Q2065" s="17" t="s">
        <v>7099</v>
      </c>
      <c r="R2065" s="16" t="s">
        <v>7100</v>
      </c>
      <c r="S2065" s="11" t="s">
        <v>4871</v>
      </c>
      <c r="T2065" s="12"/>
      <c r="U2065" s="10" t="str">
        <f>HYPERLINK("https://pbs.twimg.com/profile_images/914110650623889408/SZLq-8Br.jpg","View")</f>
        <v>View</v>
      </c>
    </row>
    <row r="2066" spans="1:21" ht="40.799999999999997">
      <c r="A2066" s="6">
        <v>43422.424016203702</v>
      </c>
      <c r="B2066" s="7" t="str">
        <f>HYPERLINK("https://twitter.com/doctor_espeto","@doctor_espeto")</f>
        <v>@doctor_espeto</v>
      </c>
      <c r="C2066" s="8" t="s">
        <v>7101</v>
      </c>
      <c r="D2066" s="9" t="s">
        <v>7102</v>
      </c>
      <c r="E2066" s="10" t="str">
        <f>HYPERLINK("https://twitter.com/doctor_espeto/status/1064219330836090886","1064219330836090886")</f>
        <v>1064219330836090886</v>
      </c>
      <c r="F2066" s="12"/>
      <c r="G2066" s="12"/>
      <c r="H2066" s="12"/>
      <c r="I2066" s="13">
        <v>0</v>
      </c>
      <c r="J2066" s="13">
        <v>0</v>
      </c>
      <c r="K2066" s="14" t="str">
        <f>HYPERLINK("http://twitter.com/download/android","Twitter for Android")</f>
        <v>Twitter for Android</v>
      </c>
      <c r="L2066" s="13">
        <v>19</v>
      </c>
      <c r="M2066" s="13">
        <v>168</v>
      </c>
      <c r="N2066" s="13">
        <v>0</v>
      </c>
      <c r="O2066" s="15"/>
      <c r="P2066" s="6">
        <v>43006.590219907404</v>
      </c>
      <c r="Q2066" s="17" t="s">
        <v>506</v>
      </c>
      <c r="R2066" s="16" t="s">
        <v>7103</v>
      </c>
      <c r="S2066" s="12"/>
      <c r="T2066" s="12"/>
      <c r="U2066" s="10" t="str">
        <f>HYPERLINK("https://pbs.twimg.com/profile_images/918808566001258496/2b-qFvK2.jpg","View")</f>
        <v>View</v>
      </c>
    </row>
    <row r="2067" spans="1:21" ht="40.799999999999997">
      <c r="A2067" s="6">
        <v>43422.423773148148</v>
      </c>
      <c r="B2067" s="7" t="str">
        <f>HYPERLINK("https://twitter.com/El_Felips","@El_Felips")</f>
        <v>@El_Felips</v>
      </c>
      <c r="C2067" s="8" t="s">
        <v>7104</v>
      </c>
      <c r="D2067" s="9" t="s">
        <v>7105</v>
      </c>
      <c r="E2067" s="10" t="str">
        <f>HYPERLINK("https://twitter.com/El_Felips/status/1064219242898341888","1064219242898341888")</f>
        <v>1064219242898341888</v>
      </c>
      <c r="F2067" s="11" t="s">
        <v>5877</v>
      </c>
      <c r="G2067" s="12"/>
      <c r="H2067" s="12"/>
      <c r="I2067" s="13">
        <v>0</v>
      </c>
      <c r="J2067" s="13">
        <v>0</v>
      </c>
      <c r="K2067" s="14" t="str">
        <f>HYPERLINK("http://twitter.com/download/iphone","Twitter for iPhone")</f>
        <v>Twitter for iPhone</v>
      </c>
      <c r="L2067" s="13">
        <v>339</v>
      </c>
      <c r="M2067" s="13">
        <v>548</v>
      </c>
      <c r="N2067" s="13">
        <v>11</v>
      </c>
      <c r="O2067" s="15"/>
      <c r="P2067" s="6">
        <v>40934.568923611107</v>
      </c>
      <c r="Q2067" s="17" t="s">
        <v>7106</v>
      </c>
      <c r="R2067" s="16" t="s">
        <v>7107</v>
      </c>
      <c r="S2067" s="12"/>
      <c r="T2067" s="12"/>
      <c r="U2067" s="10" t="str">
        <f>HYPERLINK("https://pbs.twimg.com/profile_images/1018526756381380608/ymmSGG1M.jpg","View")</f>
        <v>View</v>
      </c>
    </row>
    <row r="2068" spans="1:21" ht="30.6">
      <c r="A2068" s="6">
        <v>43422.423645833333</v>
      </c>
      <c r="B2068" s="7" t="str">
        <f>HYPERLINK("https://twitter.com/ea3aitjr","@ea3aitjr")</f>
        <v>@ea3aitjr</v>
      </c>
      <c r="C2068" s="8" t="s">
        <v>7108</v>
      </c>
      <c r="D2068" s="9" t="s">
        <v>7109</v>
      </c>
      <c r="E2068" s="10" t="str">
        <f>HYPERLINK("https://twitter.com/ea3aitjr/status/1064219196219949057","1064219196219949057")</f>
        <v>1064219196219949057</v>
      </c>
      <c r="F2068" s="11" t="s">
        <v>6701</v>
      </c>
      <c r="G2068" s="12"/>
      <c r="H2068" s="12"/>
      <c r="I2068" s="13">
        <v>0</v>
      </c>
      <c r="J2068" s="13">
        <v>0</v>
      </c>
      <c r="K2068" s="14" t="str">
        <f>HYPERLINK("http://twitter.com","Twitter Web Client")</f>
        <v>Twitter Web Client</v>
      </c>
      <c r="L2068" s="13">
        <v>66</v>
      </c>
      <c r="M2068" s="13">
        <v>304</v>
      </c>
      <c r="N2068" s="13">
        <v>2</v>
      </c>
      <c r="O2068" s="15"/>
      <c r="P2068" s="6">
        <v>41979.275520833333</v>
      </c>
      <c r="Q2068" s="17" t="s">
        <v>7110</v>
      </c>
      <c r="R2068" s="16" t="s">
        <v>7111</v>
      </c>
      <c r="S2068" s="12"/>
      <c r="T2068" s="12"/>
      <c r="U2068" s="10" t="str">
        <f>HYPERLINK("https://pbs.twimg.com/profile_images/541240233526718464/UEqKYLaU.jpeg","View")</f>
        <v>View</v>
      </c>
    </row>
    <row r="2069" spans="1:21" ht="30.6">
      <c r="A2069" s="6">
        <v>43422.423379629632</v>
      </c>
      <c r="B2069" s="7" t="str">
        <f>HYPERLINK("https://twitter.com/GerardBartalot5","@GerardBartalot5")</f>
        <v>@GerardBartalot5</v>
      </c>
      <c r="C2069" s="8" t="s">
        <v>7112</v>
      </c>
      <c r="D2069" s="9" t="s">
        <v>7113</v>
      </c>
      <c r="E2069" s="10" t="str">
        <f>HYPERLINK("https://twitter.com/GerardBartalot5/status/1064219102301089792","1064219102301089792")</f>
        <v>1064219102301089792</v>
      </c>
      <c r="F2069" s="12"/>
      <c r="G2069" s="12"/>
      <c r="H2069" s="12"/>
      <c r="I2069" s="13">
        <v>0</v>
      </c>
      <c r="J2069" s="13">
        <v>3</v>
      </c>
      <c r="K2069" s="14" t="str">
        <f>HYPERLINK("http://twitter.com/download/android","Twitter for Android")</f>
        <v>Twitter for Android</v>
      </c>
      <c r="L2069" s="13">
        <v>247</v>
      </c>
      <c r="M2069" s="13">
        <v>931</v>
      </c>
      <c r="N2069" s="13">
        <v>4</v>
      </c>
      <c r="O2069" s="15"/>
      <c r="P2069" s="6">
        <v>41531.572847222225</v>
      </c>
      <c r="Q2069" s="17" t="s">
        <v>7114</v>
      </c>
      <c r="R2069" s="16" t="s">
        <v>7115</v>
      </c>
      <c r="S2069" s="12"/>
      <c r="T2069" s="12"/>
      <c r="U2069" s="10" t="str">
        <f>HYPERLINK("https://pbs.twimg.com/profile_images/990174866140786688/UxsNkHeH.jpg","View")</f>
        <v>View</v>
      </c>
    </row>
    <row r="2070" spans="1:21" ht="20.399999999999999">
      <c r="A2070" s="6">
        <v>43422.42287037037</v>
      </c>
      <c r="B2070" s="7" t="str">
        <f>HYPERLINK("https://twitter.com/feliz_barbie","@feliz_barbie")</f>
        <v>@feliz_barbie</v>
      </c>
      <c r="C2070" s="8" t="s">
        <v>7116</v>
      </c>
      <c r="D2070" s="9" t="s">
        <v>7033</v>
      </c>
      <c r="E2070" s="10" t="str">
        <f>HYPERLINK("https://twitter.com/feliz_barbie/status/1064218916812013568","1064218916812013568")</f>
        <v>1064218916812013568</v>
      </c>
      <c r="F2070" s="11" t="s">
        <v>7117</v>
      </c>
      <c r="G2070" s="12"/>
      <c r="H2070" s="12"/>
      <c r="I2070" s="13">
        <v>0</v>
      </c>
      <c r="J2070" s="13">
        <v>0</v>
      </c>
      <c r="K2070" s="14" t="str">
        <f>HYPERLINK("https://dlvrit.com/","dlvr.it")</f>
        <v>dlvr.it</v>
      </c>
      <c r="L2070" s="13">
        <v>519</v>
      </c>
      <c r="M2070" s="13">
        <v>199</v>
      </c>
      <c r="N2070" s="13">
        <v>73</v>
      </c>
      <c r="O2070" s="15"/>
      <c r="P2070" s="6">
        <v>41279.610023148147</v>
      </c>
      <c r="Q2070" s="12"/>
      <c r="R2070" s="16" t="s">
        <v>7118</v>
      </c>
      <c r="S2070" s="11" t="s">
        <v>7119</v>
      </c>
      <c r="T2070" s="12"/>
      <c r="U2070" s="10" t="str">
        <f>HYPERLINK("https://pbs.twimg.com/profile_images/416986060032200704/TSksCYd9.jpeg","View")</f>
        <v>View</v>
      </c>
    </row>
    <row r="2071" spans="1:21" ht="13.2">
      <c r="A2071" s="6">
        <v>43422.422106481477</v>
      </c>
      <c r="B2071" s="7" t="str">
        <f>HYPERLINK("https://twitter.com/mariano9605","@mariano9605")</f>
        <v>@mariano9605</v>
      </c>
      <c r="C2071" s="8" t="s">
        <v>1680</v>
      </c>
      <c r="D2071" s="9" t="s">
        <v>7120</v>
      </c>
      <c r="E2071" s="10" t="str">
        <f>HYPERLINK("https://twitter.com/mariano9605/status/1064218640650784768","1064218640650784768")</f>
        <v>1064218640650784768</v>
      </c>
      <c r="F2071" s="11" t="s">
        <v>5659</v>
      </c>
      <c r="G2071" s="11" t="s">
        <v>7121</v>
      </c>
      <c r="H2071" s="12"/>
      <c r="I2071" s="13">
        <v>7</v>
      </c>
      <c r="J2071" s="13">
        <v>4</v>
      </c>
      <c r="K2071" s="14" t="str">
        <f>HYPERLINK("http://twitter.com","Twitter Web Client")</f>
        <v>Twitter Web Client</v>
      </c>
      <c r="L2071" s="13">
        <v>56151</v>
      </c>
      <c r="M2071" s="13">
        <v>53995</v>
      </c>
      <c r="N2071" s="13">
        <v>303</v>
      </c>
      <c r="O2071" s="15"/>
      <c r="P2071" s="6">
        <v>40869.540659722225</v>
      </c>
      <c r="Q2071" s="17" t="s">
        <v>1682</v>
      </c>
      <c r="R2071" s="16" t="s">
        <v>1683</v>
      </c>
      <c r="S2071" s="12"/>
      <c r="T2071" s="12"/>
      <c r="U2071" s="10" t="str">
        <f>HYPERLINK("https://pbs.twimg.com/profile_images/427860629525757952/ohW7e5Pf.jpeg","View")</f>
        <v>View</v>
      </c>
    </row>
    <row r="2072" spans="1:21" ht="30.6">
      <c r="A2072" s="6">
        <v>43422.419976851852</v>
      </c>
      <c r="B2072" s="7" t="str">
        <f>HYPERLINK("https://twitter.com/RcZalo","@RcZalo")</f>
        <v>@RcZalo</v>
      </c>
      <c r="C2072" s="8" t="s">
        <v>4048</v>
      </c>
      <c r="D2072" s="9" t="s">
        <v>7122</v>
      </c>
      <c r="E2072" s="10" t="str">
        <f>HYPERLINK("https://twitter.com/RcZalo/status/1064217866520707072","1064217866520707072")</f>
        <v>1064217866520707072</v>
      </c>
      <c r="F2072" s="11" t="s">
        <v>7123</v>
      </c>
      <c r="G2072" s="11" t="s">
        <v>7124</v>
      </c>
      <c r="H2072" s="12"/>
      <c r="I2072" s="13">
        <v>0</v>
      </c>
      <c r="J2072" s="13">
        <v>2</v>
      </c>
      <c r="K2072" s="14" t="str">
        <f>HYPERLINK("http://twitter.com/download/android","Twitter for Android")</f>
        <v>Twitter for Android</v>
      </c>
      <c r="L2072" s="13">
        <v>6854</v>
      </c>
      <c r="M2072" s="13">
        <v>6229</v>
      </c>
      <c r="N2072" s="13">
        <v>70</v>
      </c>
      <c r="O2072" s="15"/>
      <c r="P2072" s="6">
        <v>41726.610254629632</v>
      </c>
      <c r="Q2072" s="17" t="s">
        <v>4051</v>
      </c>
      <c r="R2072" s="16" t="s">
        <v>4052</v>
      </c>
      <c r="S2072" s="12"/>
      <c r="T2072" s="12"/>
      <c r="U2072" s="10" t="str">
        <f>HYPERLINK("https://pbs.twimg.com/profile_images/1054790348592046080/Zq8OZz57.jpg","View")</f>
        <v>View</v>
      </c>
    </row>
    <row r="2073" spans="1:21" ht="30.6">
      <c r="A2073" s="6">
        <v>43422.419837962967</v>
      </c>
      <c r="B2073" s="7" t="str">
        <f>HYPERLINK("https://twitter.com/misabel002","@misabel002")</f>
        <v>@misabel002</v>
      </c>
      <c r="C2073" s="8" t="s">
        <v>7125</v>
      </c>
      <c r="D2073" s="9" t="s">
        <v>1749</v>
      </c>
      <c r="E2073" s="10" t="str">
        <f>HYPERLINK("https://twitter.com/misabel002/status/1064217816906252288","1064217816906252288")</f>
        <v>1064217816906252288</v>
      </c>
      <c r="F2073" s="11" t="s">
        <v>1750</v>
      </c>
      <c r="G2073" s="12"/>
      <c r="H2073" s="12"/>
      <c r="I2073" s="13">
        <v>0</v>
      </c>
      <c r="J2073" s="13">
        <v>0</v>
      </c>
      <c r="K2073" s="14" t="str">
        <f t="shared" ref="K2073:K2074" si="389">HYPERLINK("http://twitter.com","Twitter Web Client")</f>
        <v>Twitter Web Client</v>
      </c>
      <c r="L2073" s="13">
        <v>336</v>
      </c>
      <c r="M2073" s="13">
        <v>141</v>
      </c>
      <c r="N2073" s="13">
        <v>29</v>
      </c>
      <c r="O2073" s="15"/>
      <c r="P2073" s="6">
        <v>41949.538726851853</v>
      </c>
      <c r="Q2073" s="12"/>
      <c r="R2073" s="18"/>
      <c r="S2073" s="12"/>
      <c r="T2073" s="12"/>
      <c r="U2073" s="19" t="s">
        <v>368</v>
      </c>
    </row>
    <row r="2074" spans="1:21" ht="51">
      <c r="A2074" s="6">
        <v>43422.419409722221</v>
      </c>
      <c r="B2074" s="7" t="str">
        <f>HYPERLINK("https://twitter.com/52municipios","@52municipios")</f>
        <v>@52municipios</v>
      </c>
      <c r="C2074" s="8" t="s">
        <v>7128</v>
      </c>
      <c r="D2074" s="9" t="s">
        <v>7129</v>
      </c>
      <c r="E2074" s="10" t="str">
        <f>HYPERLINK("https://twitter.com/52municipios/status/1064217661968650242","1064217661968650242")</f>
        <v>1064217661968650242</v>
      </c>
      <c r="F2074" s="12"/>
      <c r="G2074" s="12"/>
      <c r="H2074" s="12"/>
      <c r="I2074" s="13">
        <v>22</v>
      </c>
      <c r="J2074" s="13">
        <v>17</v>
      </c>
      <c r="K2074" s="14" t="str">
        <f t="shared" si="389"/>
        <v>Twitter Web Client</v>
      </c>
      <c r="L2074" s="13">
        <v>14788</v>
      </c>
      <c r="M2074" s="13">
        <v>10454</v>
      </c>
      <c r="N2074" s="13">
        <v>94</v>
      </c>
      <c r="O2074" s="15"/>
      <c r="P2074" s="6">
        <v>40982.465196759258</v>
      </c>
      <c r="Q2074" s="17" t="s">
        <v>7130</v>
      </c>
      <c r="R2074" s="16" t="s">
        <v>7131</v>
      </c>
      <c r="S2074" s="11" t="s">
        <v>7132</v>
      </c>
      <c r="T2074" s="12"/>
      <c r="U2074" s="10" t="str">
        <f>HYPERLINK("https://pbs.twimg.com/profile_images/754954583374462976/nX2Tdx1P.jpg","View")</f>
        <v>View</v>
      </c>
    </row>
    <row r="2075" spans="1:21" ht="51">
      <c r="A2075" s="6">
        <v>43422.418240740742</v>
      </c>
      <c r="B2075" s="7" t="str">
        <f>HYPERLINK("https://twitter.com/cherinola","@cherinola")</f>
        <v>@cherinola</v>
      </c>
      <c r="C2075" s="8" t="s">
        <v>2446</v>
      </c>
      <c r="D2075" s="9" t="s">
        <v>7133</v>
      </c>
      <c r="E2075" s="10" t="str">
        <f>HYPERLINK("https://twitter.com/cherinola/status/1064217238591410177","1064217238591410177")</f>
        <v>1064217238591410177</v>
      </c>
      <c r="F2075" s="11" t="s">
        <v>7134</v>
      </c>
      <c r="G2075" s="11" t="s">
        <v>7135</v>
      </c>
      <c r="H2075" s="12"/>
      <c r="I2075" s="13">
        <v>0</v>
      </c>
      <c r="J2075" s="13">
        <v>0</v>
      </c>
      <c r="K2075" s="14" t="str">
        <f>HYPERLINK("http://twitter.com/download/iphone","Twitter for iPhone")</f>
        <v>Twitter for iPhone</v>
      </c>
      <c r="L2075" s="13">
        <v>484</v>
      </c>
      <c r="M2075" s="13">
        <v>76</v>
      </c>
      <c r="N2075" s="13">
        <v>30</v>
      </c>
      <c r="O2075" s="15"/>
      <c r="P2075" s="6">
        <v>40232.781284722223</v>
      </c>
      <c r="Q2075" s="17" t="s">
        <v>2449</v>
      </c>
      <c r="R2075" s="16" t="s">
        <v>2450</v>
      </c>
      <c r="S2075" s="11" t="s">
        <v>2451</v>
      </c>
      <c r="T2075" s="12"/>
      <c r="U2075" s="10" t="str">
        <f>HYPERLINK("https://pbs.twimg.com/profile_images/1035495200892887040/flIObds9.jpg","View")</f>
        <v>View</v>
      </c>
    </row>
    <row r="2076" spans="1:21" ht="51">
      <c r="A2076" s="6">
        <v>43422.41679398148</v>
      </c>
      <c r="B2076" s="7" t="str">
        <f>HYPERLINK("https://twitter.com/Viczuri","@Viczuri")</f>
        <v>@Viczuri</v>
      </c>
      <c r="C2076" s="8" t="s">
        <v>4859</v>
      </c>
      <c r="D2076" s="9" t="s">
        <v>7136</v>
      </c>
      <c r="E2076" s="10" t="str">
        <f>HYPERLINK("https://twitter.com/Viczuri/status/1064216715737907200","1064216715737907200")</f>
        <v>1064216715737907200</v>
      </c>
      <c r="F2076" s="12"/>
      <c r="G2076" s="11" t="s">
        <v>7137</v>
      </c>
      <c r="H2076" s="12"/>
      <c r="I2076" s="13">
        <v>3</v>
      </c>
      <c r="J2076" s="13">
        <v>7</v>
      </c>
      <c r="K2076" s="14" t="str">
        <f>HYPERLINK("http://twitter.com","Twitter Web Client")</f>
        <v>Twitter Web Client</v>
      </c>
      <c r="L2076" s="13">
        <v>4157</v>
      </c>
      <c r="M2076" s="13">
        <v>3880</v>
      </c>
      <c r="N2076" s="13">
        <v>19</v>
      </c>
      <c r="O2076" s="15"/>
      <c r="P2076" s="6">
        <v>40553.193287037036</v>
      </c>
      <c r="Q2076" s="12"/>
      <c r="R2076" s="16" t="s">
        <v>4862</v>
      </c>
      <c r="S2076" s="12"/>
      <c r="T2076" s="12"/>
      <c r="U2076" s="10" t="str">
        <f>HYPERLINK("https://pbs.twimg.com/profile_images/977318990291918849/47D9f3lc.jpg","View")</f>
        <v>View</v>
      </c>
    </row>
    <row r="2077" spans="1:21" ht="51">
      <c r="A2077" s="6">
        <v>43422.416574074072</v>
      </c>
      <c r="B2077" s="7" t="str">
        <f>HYPERLINK("https://twitter.com/maicar18","@maicar18")</f>
        <v>@maicar18</v>
      </c>
      <c r="C2077" s="8" t="s">
        <v>7138</v>
      </c>
      <c r="D2077" s="9" t="s">
        <v>7139</v>
      </c>
      <c r="E2077" s="10" t="str">
        <f>HYPERLINK("https://twitter.com/maicar18/status/1064216635458895872","1064216635458895872")</f>
        <v>1064216635458895872</v>
      </c>
      <c r="F2077" s="11" t="s">
        <v>5997</v>
      </c>
      <c r="G2077" s="12"/>
      <c r="H2077" s="12"/>
      <c r="I2077" s="13">
        <v>0</v>
      </c>
      <c r="J2077" s="13">
        <v>0</v>
      </c>
      <c r="K2077" s="14" t="str">
        <f>HYPERLINK("http://twitter.com/download/iphone","Twitter for iPhone")</f>
        <v>Twitter for iPhone</v>
      </c>
      <c r="L2077" s="13">
        <v>2622</v>
      </c>
      <c r="M2077" s="13">
        <v>2828</v>
      </c>
      <c r="N2077" s="13">
        <v>23</v>
      </c>
      <c r="O2077" s="15"/>
      <c r="P2077" s="6">
        <v>40066.859583333331</v>
      </c>
      <c r="Q2077" s="17" t="s">
        <v>7140</v>
      </c>
      <c r="R2077" s="16" t="s">
        <v>7141</v>
      </c>
      <c r="S2077" s="12"/>
      <c r="T2077" s="12"/>
      <c r="U2077" s="10" t="str">
        <f>HYPERLINK("https://pbs.twimg.com/profile_images/881994932852051968/uYyLXMR5.jpg","View")</f>
        <v>View</v>
      </c>
    </row>
    <row r="2078" spans="1:21" ht="40.799999999999997">
      <c r="A2078" s="6">
        <v>43422.414814814816</v>
      </c>
      <c r="B2078" s="7" t="str">
        <f>HYPERLINK("https://twitter.com/Bcn_Carme","@Bcn_Carme")</f>
        <v>@Bcn_Carme</v>
      </c>
      <c r="C2078" s="8" t="s">
        <v>6056</v>
      </c>
      <c r="D2078" s="9" t="s">
        <v>7142</v>
      </c>
      <c r="E2078" s="10" t="str">
        <f>HYPERLINK("https://twitter.com/Bcn_Carme/status/1064215995802374144","1064215995802374144")</f>
        <v>1064215995802374144</v>
      </c>
      <c r="F2078" s="11" t="s">
        <v>5479</v>
      </c>
      <c r="G2078" s="12"/>
      <c r="H2078" s="12"/>
      <c r="I2078" s="13">
        <v>0</v>
      </c>
      <c r="J2078" s="13">
        <v>0</v>
      </c>
      <c r="K2078" s="14" t="str">
        <f t="shared" ref="K2078:K2079" si="390">HYPERLINK("http://twitter.com","Twitter Web Client")</f>
        <v>Twitter Web Client</v>
      </c>
      <c r="L2078" s="13">
        <v>1425</v>
      </c>
      <c r="M2078" s="13">
        <v>1528</v>
      </c>
      <c r="N2078" s="13">
        <v>19</v>
      </c>
      <c r="O2078" s="15"/>
      <c r="P2078" s="6">
        <v>40637.417025462964</v>
      </c>
      <c r="Q2078" s="12"/>
      <c r="R2078" s="16" t="s">
        <v>6059</v>
      </c>
      <c r="S2078" s="12"/>
      <c r="T2078" s="12"/>
      <c r="U2078" s="10" t="str">
        <f>HYPERLINK("https://pbs.twimg.com/profile_images/957662169629450240/DCHBYj4v.jpg","View")</f>
        <v>View</v>
      </c>
    </row>
    <row r="2079" spans="1:21" ht="30.6">
      <c r="A2079" s="6">
        <v>43422.414189814815</v>
      </c>
      <c r="B2079" s="7" t="str">
        <f>HYPERLINK("https://twitter.com/Marfil1961","@Marfil1961")</f>
        <v>@Marfil1961</v>
      </c>
      <c r="C2079" s="8" t="s">
        <v>7143</v>
      </c>
      <c r="D2079" s="9" t="s">
        <v>7144</v>
      </c>
      <c r="E2079" s="10" t="str">
        <f>HYPERLINK("https://twitter.com/Marfil1961/status/1064215771033804800","1064215771033804800")</f>
        <v>1064215771033804800</v>
      </c>
      <c r="F2079" s="12"/>
      <c r="G2079" s="12"/>
      <c r="H2079" s="12"/>
      <c r="I2079" s="13">
        <v>0</v>
      </c>
      <c r="J2079" s="13">
        <v>0</v>
      </c>
      <c r="K2079" s="14" t="str">
        <f t="shared" si="390"/>
        <v>Twitter Web Client</v>
      </c>
      <c r="L2079" s="13">
        <v>2358</v>
      </c>
      <c r="M2079" s="13">
        <v>3172</v>
      </c>
      <c r="N2079" s="13">
        <v>39</v>
      </c>
      <c r="O2079" s="15"/>
      <c r="P2079" s="6">
        <v>41922.204131944447</v>
      </c>
      <c r="Q2079" s="17" t="s">
        <v>695</v>
      </c>
      <c r="R2079" s="16" t="s">
        <v>7145</v>
      </c>
      <c r="S2079" s="12"/>
      <c r="T2079" s="12"/>
      <c r="U2079" s="10" t="str">
        <f>HYPERLINK("https://pbs.twimg.com/profile_images/1056894338226110464/ypvLBC2r.jpg","View")</f>
        <v>View</v>
      </c>
    </row>
    <row r="2080" spans="1:21" ht="20.399999999999999">
      <c r="A2080" s="6">
        <v>43422.413553240738</v>
      </c>
      <c r="B2080" s="7" t="str">
        <f>HYPERLINK("https://twitter.com/tobagomez","@tobagomez")</f>
        <v>@tobagomez</v>
      </c>
      <c r="C2080" s="8" t="s">
        <v>3645</v>
      </c>
      <c r="D2080" s="9" t="s">
        <v>7146</v>
      </c>
      <c r="E2080" s="10" t="str">
        <f>HYPERLINK("https://twitter.com/tobagomez/status/1064215538916839425","1064215538916839425")</f>
        <v>1064215538916839425</v>
      </c>
      <c r="F2080" s="12"/>
      <c r="G2080" s="12"/>
      <c r="H2080" s="12"/>
      <c r="I2080" s="13">
        <v>0</v>
      </c>
      <c r="J2080" s="13">
        <v>0</v>
      </c>
      <c r="K2080" s="14" t="str">
        <f>HYPERLINK("http://twitter.com/download/android","Twitter for Android")</f>
        <v>Twitter for Android</v>
      </c>
      <c r="L2080" s="13">
        <v>82</v>
      </c>
      <c r="M2080" s="13">
        <v>111</v>
      </c>
      <c r="N2080" s="13">
        <v>0</v>
      </c>
      <c r="O2080" s="15"/>
      <c r="P2080" s="6">
        <v>41309.522453703699</v>
      </c>
      <c r="Q2080" s="17" t="s">
        <v>7147</v>
      </c>
      <c r="R2080" s="16" t="s">
        <v>7148</v>
      </c>
      <c r="S2080" s="12"/>
      <c r="T2080" s="12"/>
      <c r="U2080" s="10" t="str">
        <f>HYPERLINK("https://pbs.twimg.com/profile_images/926515489383374849/Ml6CeRXl.jpg","View")</f>
        <v>View</v>
      </c>
    </row>
    <row r="2081" spans="1:21" ht="30.6">
      <c r="A2081" s="6">
        <v>43422.409062499995</v>
      </c>
      <c r="B2081" s="7" t="str">
        <f>HYPERLINK("https://twitter.com/emiliomcanas","@emiliomcanas")</f>
        <v>@emiliomcanas</v>
      </c>
      <c r="C2081" s="8" t="s">
        <v>7149</v>
      </c>
      <c r="D2081" s="9" t="s">
        <v>7150</v>
      </c>
      <c r="E2081" s="10" t="str">
        <f>HYPERLINK("https://twitter.com/emiliomcanas/status/1064213911002583040","1064213911002583040")</f>
        <v>1064213911002583040</v>
      </c>
      <c r="F2081" s="11" t="s">
        <v>7151</v>
      </c>
      <c r="G2081" s="12"/>
      <c r="H2081" s="12"/>
      <c r="I2081" s="13">
        <v>1</v>
      </c>
      <c r="J2081" s="13">
        <v>2</v>
      </c>
      <c r="K2081" s="14" t="str">
        <f>HYPERLINK("http://twitter.com","Twitter Web Client")</f>
        <v>Twitter Web Client</v>
      </c>
      <c r="L2081" s="13">
        <v>349</v>
      </c>
      <c r="M2081" s="13">
        <v>284</v>
      </c>
      <c r="N2081" s="13">
        <v>11</v>
      </c>
      <c r="O2081" s="15"/>
      <c r="P2081" s="6">
        <v>40618.266134259262</v>
      </c>
      <c r="Q2081" s="12"/>
      <c r="R2081" s="16" t="s">
        <v>7152</v>
      </c>
      <c r="S2081" s="11" t="s">
        <v>7153</v>
      </c>
      <c r="T2081" s="12"/>
      <c r="U2081" s="10" t="str">
        <f>HYPERLINK("https://pbs.twimg.com/profile_images/989482069188399104/JQ9yGQYb.jpg","View")</f>
        <v>View</v>
      </c>
    </row>
    <row r="2082" spans="1:21" ht="40.799999999999997">
      <c r="A2082" s="6">
        <v>43422.407407407409</v>
      </c>
      <c r="B2082" s="7" t="str">
        <f>HYPERLINK("https://twitter.com/lucasvillagarci","@lucasvillagarci")</f>
        <v>@lucasvillagarci</v>
      </c>
      <c r="C2082" s="8" t="s">
        <v>7154</v>
      </c>
      <c r="D2082" s="9" t="s">
        <v>6641</v>
      </c>
      <c r="E2082" s="10" t="str">
        <f>HYPERLINK("https://twitter.com/lucasvillagarci/status/1064213312995565575","1064213312995565575")</f>
        <v>1064213312995565575</v>
      </c>
      <c r="F2082" s="11" t="s">
        <v>5715</v>
      </c>
      <c r="G2082" s="12"/>
      <c r="H2082" s="12"/>
      <c r="I2082" s="13">
        <v>0</v>
      </c>
      <c r="J2082" s="13">
        <v>0</v>
      </c>
      <c r="K2082" s="14" t="str">
        <f>HYPERLINK("http://twitter.com/#!/download/ipad","Twitter for iPad")</f>
        <v>Twitter for iPad</v>
      </c>
      <c r="L2082" s="13">
        <v>1009</v>
      </c>
      <c r="M2082" s="13">
        <v>4226</v>
      </c>
      <c r="N2082" s="13">
        <v>11</v>
      </c>
      <c r="O2082" s="15"/>
      <c r="P2082" s="6">
        <v>41098.404606481483</v>
      </c>
      <c r="Q2082" s="12"/>
      <c r="R2082" s="16" t="s">
        <v>7156</v>
      </c>
      <c r="S2082" s="12"/>
      <c r="T2082" s="12"/>
      <c r="U2082" s="10" t="str">
        <f>HYPERLINK("https://pbs.twimg.com/profile_images/497080086026534912/gRxPSdDy.jpeg","View")</f>
        <v>View</v>
      </c>
    </row>
    <row r="2083" spans="1:21" ht="40.799999999999997">
      <c r="A2083" s="6">
        <v>43422.406539351854</v>
      </c>
      <c r="B2083" s="7" t="str">
        <f>HYPERLINK("https://twitter.com/Tempus_Wasabi","@Tempus_Wasabi")</f>
        <v>@Tempus_Wasabi</v>
      </c>
      <c r="C2083" s="8" t="s">
        <v>7157</v>
      </c>
      <c r="D2083" s="9" t="s">
        <v>7158</v>
      </c>
      <c r="E2083" s="10" t="str">
        <f>HYPERLINK("https://twitter.com/Tempus_Wasabi/status/1064212996392652805","1064212996392652805")</f>
        <v>1064212996392652805</v>
      </c>
      <c r="F2083" s="11" t="s">
        <v>7159</v>
      </c>
      <c r="G2083" s="12"/>
      <c r="H2083" s="12"/>
      <c r="I2083" s="13">
        <v>0</v>
      </c>
      <c r="J2083" s="13">
        <v>0</v>
      </c>
      <c r="K2083" s="14" t="str">
        <f>HYPERLINK("https://ifttt.com","IFTTT")</f>
        <v>IFTTT</v>
      </c>
      <c r="L2083" s="13">
        <v>528</v>
      </c>
      <c r="M2083" s="13">
        <v>1913</v>
      </c>
      <c r="N2083" s="13">
        <v>1</v>
      </c>
      <c r="O2083" s="15"/>
      <c r="P2083" s="6">
        <v>42861.136388888888</v>
      </c>
      <c r="Q2083" s="17" t="s">
        <v>7160</v>
      </c>
      <c r="R2083" s="16" t="s">
        <v>7161</v>
      </c>
      <c r="S2083" s="12"/>
      <c r="T2083" s="12"/>
      <c r="U2083" s="10" t="str">
        <f>HYPERLINK("https://pbs.twimg.com/profile_images/860801881051996162/uysndfmN.jpg","View")</f>
        <v>View</v>
      </c>
    </row>
    <row r="2084" spans="1:21" ht="40.799999999999997">
      <c r="A2084" s="6">
        <v>43422.405150462961</v>
      </c>
      <c r="B2084" s="7" t="str">
        <f>HYPERLINK("https://twitter.com/mama22duran","@mama22duran")</f>
        <v>@mama22duran</v>
      </c>
      <c r="C2084" s="8" t="s">
        <v>4030</v>
      </c>
      <c r="D2084" s="9" t="s">
        <v>7162</v>
      </c>
      <c r="E2084" s="10" t="str">
        <f>HYPERLINK("https://twitter.com/mama22duran/status/1064212494791655425","1064212494791655425")</f>
        <v>1064212494791655425</v>
      </c>
      <c r="F2084" s="11" t="s">
        <v>5715</v>
      </c>
      <c r="G2084" s="12"/>
      <c r="H2084" s="12"/>
      <c r="I2084" s="13">
        <v>0</v>
      </c>
      <c r="J2084" s="13">
        <v>0</v>
      </c>
      <c r="K2084" s="14" t="str">
        <f t="shared" ref="K2084:K2087" si="391">HYPERLINK("http://twitter.com/download/android","Twitter for Android")</f>
        <v>Twitter for Android</v>
      </c>
      <c r="L2084" s="13">
        <v>291</v>
      </c>
      <c r="M2084" s="13">
        <v>229</v>
      </c>
      <c r="N2084" s="13">
        <v>5</v>
      </c>
      <c r="O2084" s="15"/>
      <c r="P2084" s="6">
        <v>41455.295185185183</v>
      </c>
      <c r="Q2084" s="17" t="s">
        <v>4034</v>
      </c>
      <c r="R2084" s="16" t="s">
        <v>4035</v>
      </c>
      <c r="S2084" s="12"/>
      <c r="T2084" s="12"/>
      <c r="U2084" s="10" t="str">
        <f>HYPERLINK("https://pbs.twimg.com/profile_images/1030356712757387264/-qYXBXYi.jpg","View")</f>
        <v>View</v>
      </c>
    </row>
    <row r="2085" spans="1:21" ht="51">
      <c r="A2085" s="6">
        <v>43422.403032407412</v>
      </c>
      <c r="B2085" s="7" t="str">
        <f>HYPERLINK("https://twitter.com/wiiflyyy","@wiiflyyy")</f>
        <v>@wiiflyyy</v>
      </c>
      <c r="C2085" s="8" t="s">
        <v>7163</v>
      </c>
      <c r="D2085" s="9" t="s">
        <v>7164</v>
      </c>
      <c r="E2085" s="10" t="str">
        <f>HYPERLINK("https://twitter.com/wiiflyyy/status/1064211725824811009","1064211725824811009")</f>
        <v>1064211725824811009</v>
      </c>
      <c r="F2085" s="12"/>
      <c r="G2085" s="12"/>
      <c r="H2085" s="12"/>
      <c r="I2085" s="13">
        <v>0</v>
      </c>
      <c r="J2085" s="13">
        <v>0</v>
      </c>
      <c r="K2085" s="14" t="str">
        <f t="shared" si="391"/>
        <v>Twitter for Android</v>
      </c>
      <c r="L2085" s="13">
        <v>186</v>
      </c>
      <c r="M2085" s="13">
        <v>212</v>
      </c>
      <c r="N2085" s="13">
        <v>3</v>
      </c>
      <c r="O2085" s="15"/>
      <c r="P2085" s="6">
        <v>42884.457048611112</v>
      </c>
      <c r="Q2085" s="17" t="s">
        <v>7165</v>
      </c>
      <c r="R2085" s="16" t="s">
        <v>7166</v>
      </c>
      <c r="S2085" s="11" t="s">
        <v>7167</v>
      </c>
      <c r="T2085" s="12"/>
      <c r="U2085" s="10" t="str">
        <f>HYPERLINK("https://pbs.twimg.com/profile_images/1060614016245096448/voeBJWAU.jpg","View")</f>
        <v>View</v>
      </c>
    </row>
    <row r="2086" spans="1:21" ht="30.6">
      <c r="A2086" s="6">
        <v>43422.402106481481</v>
      </c>
      <c r="B2086" s="7" t="str">
        <f>HYPERLINK("https://twitter.com/newslacostera","@newslacostera")</f>
        <v>@newslacostera</v>
      </c>
      <c r="C2086" s="8" t="s">
        <v>7168</v>
      </c>
      <c r="D2086" s="9" t="s">
        <v>6641</v>
      </c>
      <c r="E2086" s="10" t="str">
        <f>HYPERLINK("https://twitter.com/newslacostera/status/1064211390456565760","1064211390456565760")</f>
        <v>1064211390456565760</v>
      </c>
      <c r="F2086" s="11" t="s">
        <v>5715</v>
      </c>
      <c r="G2086" s="12"/>
      <c r="H2086" s="12"/>
      <c r="I2086" s="13">
        <v>2</v>
      </c>
      <c r="J2086" s="13">
        <v>1</v>
      </c>
      <c r="K2086" s="14" t="str">
        <f t="shared" si="391"/>
        <v>Twitter for Android</v>
      </c>
      <c r="L2086" s="13">
        <v>2045</v>
      </c>
      <c r="M2086" s="13">
        <v>4969</v>
      </c>
      <c r="N2086" s="13">
        <v>37</v>
      </c>
      <c r="O2086" s="15"/>
      <c r="P2086" s="6">
        <v>40179.497152777782</v>
      </c>
      <c r="Q2086" s="17" t="s">
        <v>7169</v>
      </c>
      <c r="R2086" s="16" t="s">
        <v>7170</v>
      </c>
      <c r="S2086" s="12"/>
      <c r="T2086" s="12"/>
      <c r="U2086" s="10" t="str">
        <f>HYPERLINK("https://pbs.twimg.com/profile_images/1064375340074745856/ykBQK-q6.jpg","View")</f>
        <v>View</v>
      </c>
    </row>
    <row r="2087" spans="1:21" ht="20.399999999999999">
      <c r="A2087" s="6">
        <v>43422.401585648149</v>
      </c>
      <c r="B2087" s="7" t="str">
        <f>HYPERLINK("https://twitter.com/miguel_prat","@miguel_prat")</f>
        <v>@miguel_prat</v>
      </c>
      <c r="C2087" s="8" t="s">
        <v>7171</v>
      </c>
      <c r="D2087" s="9" t="s">
        <v>7172</v>
      </c>
      <c r="E2087" s="10" t="str">
        <f>HYPERLINK("https://twitter.com/miguel_prat/status/1064211201213833216","1064211201213833216")</f>
        <v>1064211201213833216</v>
      </c>
      <c r="F2087" s="12"/>
      <c r="G2087" s="12"/>
      <c r="H2087" s="12"/>
      <c r="I2087" s="13">
        <v>0</v>
      </c>
      <c r="J2087" s="13">
        <v>1</v>
      </c>
      <c r="K2087" s="14" t="str">
        <f t="shared" si="391"/>
        <v>Twitter for Android</v>
      </c>
      <c r="L2087" s="13">
        <v>2129</v>
      </c>
      <c r="M2087" s="13">
        <v>1823</v>
      </c>
      <c r="N2087" s="13">
        <v>75</v>
      </c>
      <c r="O2087" s="15"/>
      <c r="P2087" s="6">
        <v>40014.512303240743</v>
      </c>
      <c r="Q2087" s="17" t="s">
        <v>7173</v>
      </c>
      <c r="R2087" s="16" t="s">
        <v>7174</v>
      </c>
      <c r="S2087" s="12"/>
      <c r="T2087" s="12"/>
      <c r="U2087" s="10" t="str">
        <f>HYPERLINK("https://pbs.twimg.com/profile_images/1056886084729257984/9zJWhLAi.jpg","View")</f>
        <v>View</v>
      </c>
    </row>
    <row r="2088" spans="1:21" ht="51">
      <c r="A2088" s="6">
        <v>43422.401550925926</v>
      </c>
      <c r="B2088" s="7" t="str">
        <f>HYPERLINK("https://twitter.com/orto1941","@orto1941")</f>
        <v>@orto1941</v>
      </c>
      <c r="C2088" s="8" t="s">
        <v>5724</v>
      </c>
      <c r="D2088" s="9" t="s">
        <v>7175</v>
      </c>
      <c r="E2088" s="10" t="str">
        <f>HYPERLINK("https://twitter.com/orto1941/status/1064211188815458308","1064211188815458308")</f>
        <v>1064211188815458308</v>
      </c>
      <c r="F2088" s="12"/>
      <c r="G2088" s="11" t="s">
        <v>7155</v>
      </c>
      <c r="H2088" s="12"/>
      <c r="I2088" s="13">
        <v>342</v>
      </c>
      <c r="J2088" s="13">
        <v>307</v>
      </c>
      <c r="K2088" s="14" t="str">
        <f>HYPERLINK("http://twitter.com","Twitter Web Client")</f>
        <v>Twitter Web Client</v>
      </c>
      <c r="L2088" s="13">
        <v>12007</v>
      </c>
      <c r="M2088" s="13">
        <v>9110</v>
      </c>
      <c r="N2088" s="13">
        <v>65</v>
      </c>
      <c r="O2088" s="15"/>
      <c r="P2088" s="6">
        <v>41889.128020833334</v>
      </c>
      <c r="Q2088" s="12"/>
      <c r="R2088" s="16" t="s">
        <v>5727</v>
      </c>
      <c r="S2088" s="11" t="s">
        <v>5728</v>
      </c>
      <c r="T2088" s="12"/>
      <c r="U2088" s="10" t="str">
        <f>HYPERLINK("https://pbs.twimg.com/profile_images/918460342975565824/nErz_vkB.jpg","View")</f>
        <v>View</v>
      </c>
    </row>
    <row r="2089" spans="1:21" ht="20.399999999999999">
      <c r="A2089" s="6">
        <v>43422.400810185187</v>
      </c>
      <c r="B2089" s="7" t="str">
        <f>HYPERLINK("https://twitter.com/JavierBlancoNET","@JavierBlancoNET")</f>
        <v>@JavierBlancoNET</v>
      </c>
      <c r="C2089" s="8" t="s">
        <v>7177</v>
      </c>
      <c r="D2089" s="9" t="s">
        <v>7178</v>
      </c>
      <c r="E2089" s="10" t="str">
        <f>HYPERLINK("https://twitter.com/JavierBlancoNET/status/1064210921680191488","1064210921680191488")</f>
        <v>1064210921680191488</v>
      </c>
      <c r="F2089" s="12"/>
      <c r="G2089" s="12"/>
      <c r="H2089" s="12"/>
      <c r="I2089" s="13">
        <v>0</v>
      </c>
      <c r="J2089" s="13">
        <v>0</v>
      </c>
      <c r="K2089" s="14" t="str">
        <f>HYPERLINK("http://www.facebook.com/twitter","Facebook")</f>
        <v>Facebook</v>
      </c>
      <c r="L2089" s="13">
        <v>125</v>
      </c>
      <c r="M2089" s="13">
        <v>198</v>
      </c>
      <c r="N2089" s="13">
        <v>5</v>
      </c>
      <c r="O2089" s="15"/>
      <c r="P2089" s="6">
        <v>40229.657951388886</v>
      </c>
      <c r="Q2089" s="17" t="s">
        <v>7180</v>
      </c>
      <c r="R2089" s="16" t="s">
        <v>7181</v>
      </c>
      <c r="S2089" s="11" t="s">
        <v>7182</v>
      </c>
      <c r="T2089" s="12"/>
      <c r="U2089" s="10" t="str">
        <f>HYPERLINK("https://pbs.twimg.com/profile_images/432990989234765825/7JCHyXTo.jpeg","View")</f>
        <v>View</v>
      </c>
    </row>
    <row r="2090" spans="1:21" ht="51">
      <c r="A2090" s="6">
        <v>43422.400104166663</v>
      </c>
      <c r="B2090" s="7" t="str">
        <f>HYPERLINK("https://twitter.com/La_CarrieWhite","@La_CarrieWhite")</f>
        <v>@La_CarrieWhite</v>
      </c>
      <c r="C2090" s="8" t="s">
        <v>426</v>
      </c>
      <c r="D2090" s="9" t="s">
        <v>7183</v>
      </c>
      <c r="E2090" s="10" t="str">
        <f>HYPERLINK("https://twitter.com/La_CarrieWhite/status/1064210667345981441","1064210667345981441")</f>
        <v>1064210667345981441</v>
      </c>
      <c r="F2090" s="17" t="s">
        <v>439</v>
      </c>
      <c r="G2090" s="11" t="s">
        <v>440</v>
      </c>
      <c r="H2090" s="12"/>
      <c r="I2090" s="13">
        <v>0</v>
      </c>
      <c r="J2090" s="13">
        <v>2</v>
      </c>
      <c r="K2090" s="14" t="str">
        <f>HYPERLINK("http://twitter.com/download/android","Twitter for Android")</f>
        <v>Twitter for Android</v>
      </c>
      <c r="L2090" s="13">
        <v>2219</v>
      </c>
      <c r="M2090" s="13">
        <v>3100</v>
      </c>
      <c r="N2090" s="13">
        <v>7</v>
      </c>
      <c r="O2090" s="15"/>
      <c r="P2090" s="6">
        <v>41788.403657407405</v>
      </c>
      <c r="Q2090" s="12"/>
      <c r="R2090" s="16" t="s">
        <v>428</v>
      </c>
      <c r="S2090" s="12"/>
      <c r="T2090" s="12"/>
      <c r="U2090" s="10" t="str">
        <f>HYPERLINK("https://pbs.twimg.com/profile_images/1059127273389985792/4UhFigNy.jpg","View")</f>
        <v>View</v>
      </c>
    </row>
    <row r="2091" spans="1:21" ht="40.799999999999997">
      <c r="A2091" s="6">
        <v>43422.399918981479</v>
      </c>
      <c r="B2091" s="7" t="str">
        <f>HYPERLINK("https://twitter.com/josegabriel467","@josegabriel467")</f>
        <v>@josegabriel467</v>
      </c>
      <c r="C2091" s="8" t="s">
        <v>1744</v>
      </c>
      <c r="D2091" s="9" t="s">
        <v>7184</v>
      </c>
      <c r="E2091" s="10" t="str">
        <f>HYPERLINK("https://twitter.com/josegabriel467/status/1064210600878854146","1064210600878854146")</f>
        <v>1064210600878854146</v>
      </c>
      <c r="F2091" s="11" t="s">
        <v>7185</v>
      </c>
      <c r="G2091" s="12"/>
      <c r="H2091" s="12"/>
      <c r="I2091" s="13">
        <v>0</v>
      </c>
      <c r="J2091" s="13">
        <v>0</v>
      </c>
      <c r="K2091" s="14" t="str">
        <f>HYPERLINK("http://www.facebook.com/twitter","Facebook")</f>
        <v>Facebook</v>
      </c>
      <c r="L2091" s="13">
        <v>1624</v>
      </c>
      <c r="M2091" s="13">
        <v>1609</v>
      </c>
      <c r="N2091" s="13">
        <v>23</v>
      </c>
      <c r="O2091" s="15"/>
      <c r="P2091" s="6">
        <v>40844.160150462965</v>
      </c>
      <c r="Q2091" s="17" t="s">
        <v>29</v>
      </c>
      <c r="R2091" s="16" t="s">
        <v>1746</v>
      </c>
      <c r="S2091" s="11" t="s">
        <v>1747</v>
      </c>
      <c r="T2091" s="12"/>
      <c r="U2091" s="10" t="str">
        <f>HYPERLINK("https://pbs.twimg.com/profile_images/864586721966436354/WwV_o0gL.jpg","View")</f>
        <v>View</v>
      </c>
    </row>
    <row r="2092" spans="1:21" ht="20.399999999999999">
      <c r="A2092" s="6">
        <v>43422.399236111116</v>
      </c>
      <c r="B2092" s="7" t="str">
        <f>HYPERLINK("https://twitter.com/smrf50","@smrf50")</f>
        <v>@smrf50</v>
      </c>
      <c r="C2092" s="8" t="s">
        <v>7186</v>
      </c>
      <c r="D2092" s="9" t="s">
        <v>7187</v>
      </c>
      <c r="E2092" s="10" t="str">
        <f>HYPERLINK("https://twitter.com/smrf50/status/1064210351116509184","1064210351116509184")</f>
        <v>1064210351116509184</v>
      </c>
      <c r="F2092" s="11" t="s">
        <v>7188</v>
      </c>
      <c r="G2092" s="12"/>
      <c r="H2092" s="12"/>
      <c r="I2092" s="13">
        <v>0</v>
      </c>
      <c r="J2092" s="13">
        <v>0</v>
      </c>
      <c r="K2092" s="14" t="str">
        <f t="shared" ref="K2092:K2094" si="392">HYPERLINK("http://twitter.com/download/android","Twitter for Android")</f>
        <v>Twitter for Android</v>
      </c>
      <c r="L2092" s="13">
        <v>839</v>
      </c>
      <c r="M2092" s="13">
        <v>1016</v>
      </c>
      <c r="N2092" s="13">
        <v>81</v>
      </c>
      <c r="O2092" s="15"/>
      <c r="P2092" s="6">
        <v>41314.439976851849</v>
      </c>
      <c r="Q2092" s="12"/>
      <c r="R2092" s="18"/>
      <c r="S2092" s="12"/>
      <c r="T2092" s="12"/>
      <c r="U2092" s="10" t="str">
        <f>HYPERLINK("https://pbs.twimg.com/profile_images/920056769363181568/qVLbZp6R.jpg","View")</f>
        <v>View</v>
      </c>
    </row>
    <row r="2093" spans="1:21" ht="20.399999999999999">
      <c r="A2093" s="6">
        <v>43422.398888888885</v>
      </c>
      <c r="B2093" s="7" t="str">
        <f>HYPERLINK("https://twitter.com/kayak_twit","@kayak_twit")</f>
        <v>@kayak_twit</v>
      </c>
      <c r="C2093" s="8" t="s">
        <v>6377</v>
      </c>
      <c r="D2093" s="9" t="s">
        <v>7189</v>
      </c>
      <c r="E2093" s="10" t="str">
        <f>HYPERLINK("https://twitter.com/kayak_twit/status/1064210224746283008","1064210224746283008")</f>
        <v>1064210224746283008</v>
      </c>
      <c r="F2093" s="11" t="s">
        <v>7190</v>
      </c>
      <c r="G2093" s="12"/>
      <c r="H2093" s="12"/>
      <c r="I2093" s="13">
        <v>1</v>
      </c>
      <c r="J2093" s="13">
        <v>0</v>
      </c>
      <c r="K2093" s="14" t="str">
        <f t="shared" si="392"/>
        <v>Twitter for Android</v>
      </c>
      <c r="L2093" s="13">
        <v>2427</v>
      </c>
      <c r="M2093" s="13">
        <v>2338</v>
      </c>
      <c r="N2093" s="13">
        <v>42</v>
      </c>
      <c r="O2093" s="15"/>
      <c r="P2093" s="6">
        <v>40582.68613425926</v>
      </c>
      <c r="Q2093" s="17" t="s">
        <v>6379</v>
      </c>
      <c r="R2093" s="16" t="s">
        <v>6380</v>
      </c>
      <c r="S2093" s="12"/>
      <c r="T2093" s="12"/>
      <c r="U2093" s="10" t="str">
        <f>HYPERLINK("https://pbs.twimg.com/profile_images/378800000146370498/60af539dd94a6b23ab48b4db34ae602d.jpeg","View")</f>
        <v>View</v>
      </c>
    </row>
    <row r="2094" spans="1:21" ht="20.399999999999999">
      <c r="A2094" s="6">
        <v>43422.397326388891</v>
      </c>
      <c r="B2094" s="7" t="str">
        <f>HYPERLINK("https://twitter.com/Richi44443030","@Richi44443030")</f>
        <v>@Richi44443030</v>
      </c>
      <c r="C2094" s="8" t="s">
        <v>7191</v>
      </c>
      <c r="D2094" s="9" t="s">
        <v>6641</v>
      </c>
      <c r="E2094" s="10" t="str">
        <f>HYPERLINK("https://twitter.com/Richi44443030/status/1064209659047960577","1064209659047960577")</f>
        <v>1064209659047960577</v>
      </c>
      <c r="F2094" s="11" t="s">
        <v>5715</v>
      </c>
      <c r="G2094" s="12"/>
      <c r="H2094" s="12"/>
      <c r="I2094" s="13">
        <v>0</v>
      </c>
      <c r="J2094" s="13">
        <v>0</v>
      </c>
      <c r="K2094" s="14" t="str">
        <f t="shared" si="392"/>
        <v>Twitter for Android</v>
      </c>
      <c r="L2094" s="13">
        <v>6</v>
      </c>
      <c r="M2094" s="13">
        <v>9</v>
      </c>
      <c r="N2094" s="13">
        <v>1</v>
      </c>
      <c r="O2094" s="15"/>
      <c r="P2094" s="6">
        <v>43120.157453703709</v>
      </c>
      <c r="Q2094" s="12"/>
      <c r="R2094" s="18"/>
      <c r="S2094" s="12"/>
      <c r="T2094" s="12"/>
      <c r="U2094" s="19" t="s">
        <v>368</v>
      </c>
    </row>
    <row r="2095" spans="1:21" ht="30.6">
      <c r="A2095" s="6">
        <v>43422.397303240738</v>
      </c>
      <c r="B2095" s="7" t="str">
        <f>HYPERLINK("https://twitter.com/somosCLM","@somosCLM")</f>
        <v>@somosCLM</v>
      </c>
      <c r="C2095" s="8" t="s">
        <v>7192</v>
      </c>
      <c r="D2095" s="9" t="s">
        <v>7193</v>
      </c>
      <c r="E2095" s="10" t="str">
        <f>HYPERLINK("https://twitter.com/somosCLM/status/1064209649967214593","1064209649967214593")</f>
        <v>1064209649967214593</v>
      </c>
      <c r="F2095" s="11" t="s">
        <v>7194</v>
      </c>
      <c r="G2095" s="11" t="s">
        <v>7195</v>
      </c>
      <c r="H2095" s="12"/>
      <c r="I2095" s="13">
        <v>0</v>
      </c>
      <c r="J2095" s="13">
        <v>0</v>
      </c>
      <c r="K2095" s="14" t="str">
        <f>HYPERLINK("https://somoscastillalamancha.com","somosweb")</f>
        <v>somosweb</v>
      </c>
      <c r="L2095" s="13">
        <v>590</v>
      </c>
      <c r="M2095" s="13">
        <v>897</v>
      </c>
      <c r="N2095" s="13">
        <v>9</v>
      </c>
      <c r="O2095" s="15"/>
      <c r="P2095" s="6">
        <v>42014.193009259259</v>
      </c>
      <c r="Q2095" s="17" t="s">
        <v>7196</v>
      </c>
      <c r="R2095" s="16" t="s">
        <v>7197</v>
      </c>
      <c r="S2095" s="11" t="s">
        <v>7198</v>
      </c>
      <c r="T2095" s="12"/>
      <c r="U2095" s="10" t="str">
        <f>HYPERLINK("https://pbs.twimg.com/profile_images/928941273465212928/cIoSr0SF.jpg","View")</f>
        <v>View</v>
      </c>
    </row>
    <row r="2096" spans="1:21" ht="30.6">
      <c r="A2096" s="6">
        <v>43422.396666666667</v>
      </c>
      <c r="B2096" s="7" t="str">
        <f>HYPERLINK("https://twitter.com/GeekIndignado","@GeekIndignado")</f>
        <v>@GeekIndignado</v>
      </c>
      <c r="C2096" s="8" t="s">
        <v>7199</v>
      </c>
      <c r="D2096" s="9" t="s">
        <v>7200</v>
      </c>
      <c r="E2096" s="10" t="str">
        <f>HYPERLINK("https://twitter.com/GeekIndignado/status/1064209418932445184","1064209418932445184")</f>
        <v>1064209418932445184</v>
      </c>
      <c r="F2096" s="12"/>
      <c r="G2096" s="12"/>
      <c r="H2096" s="12"/>
      <c r="I2096" s="13">
        <v>0</v>
      </c>
      <c r="J2096" s="13">
        <v>2</v>
      </c>
      <c r="K2096" s="14" t="str">
        <f t="shared" ref="K2096:K2098" si="393">HYPERLINK("http://twitter.com","Twitter Web Client")</f>
        <v>Twitter Web Client</v>
      </c>
      <c r="L2096" s="13">
        <v>9586</v>
      </c>
      <c r="M2096" s="13">
        <v>1049</v>
      </c>
      <c r="N2096" s="13">
        <v>269</v>
      </c>
      <c r="O2096" s="15"/>
      <c r="P2096" s="6">
        <v>40384.289189814815</v>
      </c>
      <c r="Q2096" s="17" t="s">
        <v>7201</v>
      </c>
      <c r="R2096" s="16" t="s">
        <v>7202</v>
      </c>
      <c r="S2096" s="12"/>
      <c r="T2096" s="12"/>
      <c r="U2096" s="10" t="str">
        <f>HYPERLINK("https://pbs.twimg.com/profile_images/1057619826343059456/YSvCGQ2y.jpg","View")</f>
        <v>View</v>
      </c>
    </row>
    <row r="2097" spans="1:21" ht="20.399999999999999">
      <c r="A2097" s="6">
        <v>43422.393564814818</v>
      </c>
      <c r="B2097" s="7" t="str">
        <f>HYPERLINK("https://twitter.com/OscarMuS","@OscarMuS")</f>
        <v>@OscarMuS</v>
      </c>
      <c r="C2097" s="8" t="s">
        <v>5153</v>
      </c>
      <c r="D2097" s="9" t="s">
        <v>4019</v>
      </c>
      <c r="E2097" s="10" t="str">
        <f>HYPERLINK("https://twitter.com/OscarMuS/status/1064208294628286464","1064208294628286464")</f>
        <v>1064208294628286464</v>
      </c>
      <c r="F2097" s="11" t="s">
        <v>7203</v>
      </c>
      <c r="G2097" s="12"/>
      <c r="H2097" s="12"/>
      <c r="I2097" s="13">
        <v>1</v>
      </c>
      <c r="J2097" s="13">
        <v>0</v>
      </c>
      <c r="K2097" s="14" t="str">
        <f t="shared" si="393"/>
        <v>Twitter Web Client</v>
      </c>
      <c r="L2097" s="13">
        <v>453</v>
      </c>
      <c r="M2097" s="13">
        <v>1771</v>
      </c>
      <c r="N2097" s="13">
        <v>22</v>
      </c>
      <c r="O2097" s="15"/>
      <c r="P2097" s="6">
        <v>39901.532743055555</v>
      </c>
      <c r="Q2097" s="17" t="s">
        <v>419</v>
      </c>
      <c r="R2097" s="18"/>
      <c r="S2097" s="12"/>
      <c r="T2097" s="12"/>
      <c r="U2097" s="10" t="str">
        <f>HYPERLINK("https://pbs.twimg.com/profile_images/973205470201696256/WIHHPsgS.jpg","View")</f>
        <v>View</v>
      </c>
    </row>
    <row r="2098" spans="1:21" ht="30.6">
      <c r="A2098" s="6">
        <v>43422.393101851849</v>
      </c>
      <c r="B2098" s="7" t="str">
        <f>HYPERLINK("https://twitter.com/pradoalberdi","@pradoalberdi")</f>
        <v>@pradoalberdi</v>
      </c>
      <c r="C2098" s="8" t="s">
        <v>817</v>
      </c>
      <c r="D2098" s="9" t="s">
        <v>6185</v>
      </c>
      <c r="E2098" s="10" t="str">
        <f>HYPERLINK("https://twitter.com/pradoalberdi/status/1064208129045536769","1064208129045536769")</f>
        <v>1064208129045536769</v>
      </c>
      <c r="F2098" s="11" t="s">
        <v>5997</v>
      </c>
      <c r="G2098" s="12"/>
      <c r="H2098" s="12"/>
      <c r="I2098" s="13">
        <v>0</v>
      </c>
      <c r="J2098" s="13">
        <v>0</v>
      </c>
      <c r="K2098" s="14" t="str">
        <f t="shared" si="393"/>
        <v>Twitter Web Client</v>
      </c>
      <c r="L2098" s="13">
        <v>2749</v>
      </c>
      <c r="M2098" s="13">
        <v>2753</v>
      </c>
      <c r="N2098" s="13">
        <v>76</v>
      </c>
      <c r="O2098" s="15"/>
      <c r="P2098" s="6">
        <v>39912.622858796298</v>
      </c>
      <c r="Q2098" s="17" t="s">
        <v>818</v>
      </c>
      <c r="R2098" s="16" t="s">
        <v>819</v>
      </c>
      <c r="S2098" s="11" t="s">
        <v>820</v>
      </c>
      <c r="T2098" s="12"/>
      <c r="U2098" s="10" t="str">
        <f>HYPERLINK("https://pbs.twimg.com/profile_images/1471182899/ALBERDI_PERFIL.jpg","View")</f>
        <v>View</v>
      </c>
    </row>
    <row r="2099" spans="1:21" ht="51">
      <c r="A2099" s="6">
        <v>43422.392407407402</v>
      </c>
      <c r="B2099" s="7" t="str">
        <f>HYPERLINK("https://twitter.com/fenixssf","@fenixssf")</f>
        <v>@fenixssf</v>
      </c>
      <c r="C2099" s="8" t="s">
        <v>2038</v>
      </c>
      <c r="D2099" s="9" t="s">
        <v>7204</v>
      </c>
      <c r="E2099" s="10" t="str">
        <f>HYPERLINK("https://twitter.com/fenixssf/status/1064207875243937795","1064207875243937795")</f>
        <v>1064207875243937795</v>
      </c>
      <c r="F2099" s="11" t="s">
        <v>7205</v>
      </c>
      <c r="G2099" s="12"/>
      <c r="H2099" s="12"/>
      <c r="I2099" s="13">
        <v>2</v>
      </c>
      <c r="J2099" s="13">
        <v>1</v>
      </c>
      <c r="K2099" s="14" t="str">
        <f>HYPERLINK("http://twitter.com/download/android","Twitter for Android")</f>
        <v>Twitter for Android</v>
      </c>
      <c r="L2099" s="13">
        <v>1143</v>
      </c>
      <c r="M2099" s="13">
        <v>1097</v>
      </c>
      <c r="N2099" s="13">
        <v>27</v>
      </c>
      <c r="O2099" s="15"/>
      <c r="P2099" s="6">
        <v>42561.385509259257</v>
      </c>
      <c r="Q2099" s="17" t="s">
        <v>2042</v>
      </c>
      <c r="R2099" s="16" t="s">
        <v>2043</v>
      </c>
      <c r="S2099" s="11" t="s">
        <v>2044</v>
      </c>
      <c r="T2099" s="12"/>
      <c r="U2099" s="10" t="str">
        <f>HYPERLINK("https://pbs.twimg.com/profile_images/1010234797216628737/6lcTzpO0.jpg","View")</f>
        <v>View</v>
      </c>
    </row>
    <row r="2100" spans="1:21" ht="51">
      <c r="A2100" s="6">
        <v>43422.392002314809</v>
      </c>
      <c r="B2100" s="7" t="str">
        <f>HYPERLINK("https://twitter.com/anthropgirl","@anthropgirl")</f>
        <v>@anthropgirl</v>
      </c>
      <c r="C2100" s="8" t="s">
        <v>7206</v>
      </c>
      <c r="D2100" s="9" t="s">
        <v>7207</v>
      </c>
      <c r="E2100" s="10" t="str">
        <f>HYPERLINK("https://twitter.com/anthropgirl/status/1064207730808782848","1064207730808782848")</f>
        <v>1064207730808782848</v>
      </c>
      <c r="F2100" s="12"/>
      <c r="G2100" s="12"/>
      <c r="H2100" s="12"/>
      <c r="I2100" s="13">
        <v>0</v>
      </c>
      <c r="J2100" s="13">
        <v>0</v>
      </c>
      <c r="K2100" s="14" t="str">
        <f>HYPERLINK("http://twitter.com/download/iphone","Twitter for iPhone")</f>
        <v>Twitter for iPhone</v>
      </c>
      <c r="L2100" s="13">
        <v>72</v>
      </c>
      <c r="M2100" s="13">
        <v>361</v>
      </c>
      <c r="N2100" s="13">
        <v>0</v>
      </c>
      <c r="O2100" s="15"/>
      <c r="P2100" s="6">
        <v>41647.566203703704</v>
      </c>
      <c r="Q2100" s="12"/>
      <c r="R2100" s="16" t="s">
        <v>7208</v>
      </c>
      <c r="S2100" s="12"/>
      <c r="T2100" s="12"/>
      <c r="U2100" s="10" t="str">
        <f>HYPERLINK("https://pbs.twimg.com/profile_images/608653975479459840/PTQOby2l.jpg","View")</f>
        <v>View</v>
      </c>
    </row>
    <row r="2101" spans="1:21" ht="30.6">
      <c r="A2101" s="6">
        <v>43422.388148148151</v>
      </c>
      <c r="B2101" s="7" t="str">
        <f>HYPERLINK("https://twitter.com/d4veCAT","@d4veCAT")</f>
        <v>@d4veCAT</v>
      </c>
      <c r="C2101" s="8" t="s">
        <v>7209</v>
      </c>
      <c r="D2101" s="9" t="s">
        <v>7210</v>
      </c>
      <c r="E2101" s="10" t="str">
        <f>HYPERLINK("https://twitter.com/d4veCAT/status/1064206331324841985","1064206331324841985")</f>
        <v>1064206331324841985</v>
      </c>
      <c r="F2101" s="12"/>
      <c r="G2101" s="11" t="s">
        <v>7211</v>
      </c>
      <c r="H2101" s="12"/>
      <c r="I2101" s="13">
        <v>27</v>
      </c>
      <c r="J2101" s="13">
        <v>24</v>
      </c>
      <c r="K2101" s="14" t="str">
        <f>HYPERLINK("http://twitter.com/download/android","Twitter for Android")</f>
        <v>Twitter for Android</v>
      </c>
      <c r="L2101" s="13">
        <v>2185</v>
      </c>
      <c r="M2101" s="13">
        <v>1558</v>
      </c>
      <c r="N2101" s="13">
        <v>16</v>
      </c>
      <c r="O2101" s="15"/>
      <c r="P2101" s="6">
        <v>43012.03606481482</v>
      </c>
      <c r="Q2101" s="17" t="s">
        <v>3877</v>
      </c>
      <c r="R2101" s="16" t="s">
        <v>7213</v>
      </c>
      <c r="S2101" s="12"/>
      <c r="T2101" s="12"/>
      <c r="U2101" s="10" t="str">
        <f>HYPERLINK("https://pbs.twimg.com/profile_images/1049624723208978433/ivy6KVZ5.jpg","View")</f>
        <v>View</v>
      </c>
    </row>
    <row r="2102" spans="1:21" ht="30.6">
      <c r="A2102" s="6">
        <v>43422.387407407412</v>
      </c>
      <c r="B2102" s="7" t="str">
        <f>HYPERLINK("https://twitter.com/Enebral51","@Enebral51")</f>
        <v>@Enebral51</v>
      </c>
      <c r="C2102" s="8" t="s">
        <v>7214</v>
      </c>
      <c r="D2102" s="9" t="s">
        <v>7215</v>
      </c>
      <c r="E2102" s="10" t="str">
        <f>HYPERLINK("https://twitter.com/Enebral51/status/1064206065963868161","1064206065963868161")</f>
        <v>1064206065963868161</v>
      </c>
      <c r="F2102" s="12"/>
      <c r="G2102" s="12"/>
      <c r="H2102" s="12"/>
      <c r="I2102" s="13">
        <v>0</v>
      </c>
      <c r="J2102" s="13">
        <v>0</v>
      </c>
      <c r="K2102" s="14" t="str">
        <f>HYPERLINK("https://mobile.twitter.com","Twitter Lite")</f>
        <v>Twitter Lite</v>
      </c>
      <c r="L2102" s="13">
        <v>136</v>
      </c>
      <c r="M2102" s="13">
        <v>108</v>
      </c>
      <c r="N2102" s="13">
        <v>1</v>
      </c>
      <c r="O2102" s="15"/>
      <c r="P2102" s="6">
        <v>41609.560439814813</v>
      </c>
      <c r="Q2102" s="17" t="s">
        <v>76</v>
      </c>
      <c r="R2102" s="16" t="s">
        <v>7216</v>
      </c>
      <c r="S2102" s="12"/>
      <c r="T2102" s="12"/>
      <c r="U2102" s="10" t="str">
        <f>HYPERLINK("https://pbs.twimg.com/profile_images/946461047891914754/GeM54WZy.jpg","View")</f>
        <v>View</v>
      </c>
    </row>
    <row r="2103" spans="1:21" ht="20.399999999999999">
      <c r="A2103" s="6">
        <v>43422.383506944447</v>
      </c>
      <c r="B2103" s="7" t="str">
        <f>HYPERLINK("https://twitter.com/angosa53","@angosa53")</f>
        <v>@angosa53</v>
      </c>
      <c r="C2103" s="8" t="s">
        <v>7217</v>
      </c>
      <c r="D2103" s="9" t="s">
        <v>7218</v>
      </c>
      <c r="E2103" s="10" t="str">
        <f>HYPERLINK("https://twitter.com/angosa53/status/1064204651950759937","1064204651950759937")</f>
        <v>1064204651950759937</v>
      </c>
      <c r="F2103" s="12"/>
      <c r="G2103" s="12"/>
      <c r="H2103" s="12"/>
      <c r="I2103" s="13">
        <v>3</v>
      </c>
      <c r="J2103" s="13">
        <v>1</v>
      </c>
      <c r="K2103" s="14" t="str">
        <f>HYPERLINK("http://twitter.com/download/android","Twitter for Android")</f>
        <v>Twitter for Android</v>
      </c>
      <c r="L2103" s="13">
        <v>341</v>
      </c>
      <c r="M2103" s="13">
        <v>598</v>
      </c>
      <c r="N2103" s="13">
        <v>0</v>
      </c>
      <c r="O2103" s="15"/>
      <c r="P2103" s="6">
        <v>40629.409166666665</v>
      </c>
      <c r="Q2103" s="17" t="s">
        <v>695</v>
      </c>
      <c r="R2103" s="18"/>
      <c r="S2103" s="12"/>
      <c r="T2103" s="12"/>
      <c r="U2103" s="10" t="str">
        <f>HYPERLINK("https://pbs.twimg.com/profile_images/1065375684502200321/SSVZ2-3h.jpg","View")</f>
        <v>View</v>
      </c>
    </row>
    <row r="2104" spans="1:21" ht="20.399999999999999">
      <c r="A2104" s="6">
        <v>43422.380925925929</v>
      </c>
      <c r="B2104" s="7" t="str">
        <f>HYPERLINK("https://twitter.com/verohurtadov","@verohurtadov")</f>
        <v>@verohurtadov</v>
      </c>
      <c r="C2104" s="8" t="s">
        <v>7219</v>
      </c>
      <c r="D2104" s="9" t="s">
        <v>7220</v>
      </c>
      <c r="E2104" s="10" t="str">
        <f>HYPERLINK("https://twitter.com/verohurtadov/status/1064203718038642695","1064203718038642695")</f>
        <v>1064203718038642695</v>
      </c>
      <c r="F2104" s="11" t="s">
        <v>7221</v>
      </c>
      <c r="G2104" s="11" t="s">
        <v>7222</v>
      </c>
      <c r="H2104" s="12"/>
      <c r="I2104" s="13">
        <v>0</v>
      </c>
      <c r="J2104" s="13">
        <v>0</v>
      </c>
      <c r="K2104" s="14" t="str">
        <f>HYPERLINK("https://www.socialoomph.com","SocialOomph")</f>
        <v>SocialOomph</v>
      </c>
      <c r="L2104" s="13">
        <v>41</v>
      </c>
      <c r="M2104" s="13">
        <v>183</v>
      </c>
      <c r="N2104" s="13">
        <v>0</v>
      </c>
      <c r="O2104" s="15"/>
      <c r="P2104" s="6">
        <v>42543.279502314814</v>
      </c>
      <c r="Q2104" s="17" t="s">
        <v>338</v>
      </c>
      <c r="R2104" s="16" t="s">
        <v>7223</v>
      </c>
      <c r="S2104" s="12"/>
      <c r="T2104" s="12"/>
      <c r="U2104" s="10" t="str">
        <f>HYPERLINK("https://pbs.twimg.com/profile_images/745613199165251584/LMk6IVaf.jpg","View")</f>
        <v>View</v>
      </c>
    </row>
    <row r="2105" spans="1:21" ht="40.799999999999997">
      <c r="A2105" s="6">
        <v>43422.380416666667</v>
      </c>
      <c r="B2105" s="7" t="str">
        <f>HYPERLINK("https://twitter.com/josegabriel467","@josegabriel467")</f>
        <v>@josegabriel467</v>
      </c>
      <c r="C2105" s="8" t="s">
        <v>1744</v>
      </c>
      <c r="D2105" s="9" t="s">
        <v>7224</v>
      </c>
      <c r="E2105" s="10" t="str">
        <f>HYPERLINK("https://twitter.com/josegabriel467/status/1064203531039776768","1064203531039776768")</f>
        <v>1064203531039776768</v>
      </c>
      <c r="F2105" s="12"/>
      <c r="G2105" s="12"/>
      <c r="H2105" s="12"/>
      <c r="I2105" s="13">
        <v>0</v>
      </c>
      <c r="J2105" s="13">
        <v>0</v>
      </c>
      <c r="K2105" s="14" t="str">
        <f>HYPERLINK("http://www.facebook.com/twitter","Facebook")</f>
        <v>Facebook</v>
      </c>
      <c r="L2105" s="13">
        <v>1624</v>
      </c>
      <c r="M2105" s="13">
        <v>1609</v>
      </c>
      <c r="N2105" s="13">
        <v>23</v>
      </c>
      <c r="O2105" s="15"/>
      <c r="P2105" s="6">
        <v>40844.160150462965</v>
      </c>
      <c r="Q2105" s="17" t="s">
        <v>29</v>
      </c>
      <c r="R2105" s="16" t="s">
        <v>1746</v>
      </c>
      <c r="S2105" s="11" t="s">
        <v>1747</v>
      </c>
      <c r="T2105" s="12"/>
      <c r="U2105" s="10" t="str">
        <f>HYPERLINK("https://pbs.twimg.com/profile_images/864586721966436354/WwV_o0gL.jpg","View")</f>
        <v>View</v>
      </c>
    </row>
    <row r="2106" spans="1:21" ht="40.799999999999997">
      <c r="A2106" s="6">
        <v>43422.378946759258</v>
      </c>
      <c r="B2106" s="7" t="str">
        <f>HYPERLINK("https://twitter.com/XaviBDN","@XaviBDN")</f>
        <v>@XaviBDN</v>
      </c>
      <c r="C2106" s="8" t="s">
        <v>7225</v>
      </c>
      <c r="D2106" s="9" t="s">
        <v>7226</v>
      </c>
      <c r="E2106" s="10" t="str">
        <f>HYPERLINK("https://twitter.com/XaviBDN/status/1064202997075447808","1064202997075447808")</f>
        <v>1064202997075447808</v>
      </c>
      <c r="F2106" s="12"/>
      <c r="G2106" s="12"/>
      <c r="H2106" s="12"/>
      <c r="I2106" s="13">
        <v>3</v>
      </c>
      <c r="J2106" s="13">
        <v>0</v>
      </c>
      <c r="K2106" s="14" t="str">
        <f t="shared" ref="K2106:K2107" si="394">HYPERLINK("http://twitter.com/download/android","Twitter for Android")</f>
        <v>Twitter for Android</v>
      </c>
      <c r="L2106" s="13">
        <v>1180</v>
      </c>
      <c r="M2106" s="13">
        <v>1523</v>
      </c>
      <c r="N2106" s="13">
        <v>45</v>
      </c>
      <c r="O2106" s="15"/>
      <c r="P2106" s="6">
        <v>39648.297465277778</v>
      </c>
      <c r="Q2106" s="17" t="s">
        <v>7227</v>
      </c>
      <c r="R2106" s="16" t="s">
        <v>7228</v>
      </c>
      <c r="S2106" s="12"/>
      <c r="T2106" s="12"/>
      <c r="U2106" s="10" t="str">
        <f>HYPERLINK("https://pbs.twimg.com/profile_images/679592430660927489/aRH4Bs_s.jpg","View")</f>
        <v>View</v>
      </c>
    </row>
    <row r="2107" spans="1:21" ht="40.799999999999997">
      <c r="A2107" s="6">
        <v>43422.377962962964</v>
      </c>
      <c r="B2107" s="7" t="str">
        <f>HYPERLINK("https://twitter.com/pesapis4","@pesapis4")</f>
        <v>@pesapis4</v>
      </c>
      <c r="C2107" s="8" t="s">
        <v>7229</v>
      </c>
      <c r="D2107" s="9" t="s">
        <v>7230</v>
      </c>
      <c r="E2107" s="10" t="str">
        <f>HYPERLINK("https://twitter.com/pesapis4/status/1064202643579551746","1064202643579551746")</f>
        <v>1064202643579551746</v>
      </c>
      <c r="F2107" s="11" t="s">
        <v>7231</v>
      </c>
      <c r="G2107" s="11" t="s">
        <v>7232</v>
      </c>
      <c r="H2107" s="12"/>
      <c r="I2107" s="13">
        <v>0</v>
      </c>
      <c r="J2107" s="13">
        <v>0</v>
      </c>
      <c r="K2107" s="14" t="str">
        <f t="shared" si="394"/>
        <v>Twitter for Android</v>
      </c>
      <c r="L2107" s="13">
        <v>4238</v>
      </c>
      <c r="M2107" s="13">
        <v>3909</v>
      </c>
      <c r="N2107" s="13">
        <v>30</v>
      </c>
      <c r="O2107" s="15"/>
      <c r="P2107" s="6">
        <v>41558.088182870371</v>
      </c>
      <c r="Q2107" s="12"/>
      <c r="R2107" s="16" t="s">
        <v>7233</v>
      </c>
      <c r="S2107" s="12"/>
      <c r="T2107" s="12"/>
      <c r="U2107" s="10" t="str">
        <f>HYPERLINK("https://pbs.twimg.com/profile_images/1031118493402443776/V51H1a3q.jpg","View")</f>
        <v>View</v>
      </c>
    </row>
    <row r="2108" spans="1:21" ht="20.399999999999999">
      <c r="A2108" s="6">
        <v>43422.377465277779</v>
      </c>
      <c r="B2108" s="7" t="str">
        <f>HYPERLINK("https://twitter.com/Antoniooo551","@Antoniooo551")</f>
        <v>@Antoniooo551</v>
      </c>
      <c r="C2108" s="8" t="s">
        <v>3005</v>
      </c>
      <c r="D2108" s="9" t="s">
        <v>7025</v>
      </c>
      <c r="E2108" s="10" t="str">
        <f>HYPERLINK("https://twitter.com/Antoniooo551/status/1064202462628704256","1064202462628704256")</f>
        <v>1064202462628704256</v>
      </c>
      <c r="F2108" s="11" t="s">
        <v>7234</v>
      </c>
      <c r="G2108" s="11" t="s">
        <v>7235</v>
      </c>
      <c r="H2108" s="12"/>
      <c r="I2108" s="13">
        <v>0</v>
      </c>
      <c r="J2108" s="13">
        <v>0</v>
      </c>
      <c r="K2108" s="14" t="str">
        <f>HYPERLINK("https://dlvrit.com/","dlvr.it")</f>
        <v>dlvr.it</v>
      </c>
      <c r="L2108" s="13">
        <v>14</v>
      </c>
      <c r="M2108" s="13">
        <v>64</v>
      </c>
      <c r="N2108" s="13">
        <v>0</v>
      </c>
      <c r="O2108" s="15"/>
      <c r="P2108" s="6">
        <v>42928.48436342593</v>
      </c>
      <c r="Q2108" s="12"/>
      <c r="R2108" s="16" t="s">
        <v>7236</v>
      </c>
      <c r="S2108" s="12"/>
      <c r="T2108" s="12"/>
      <c r="U2108" s="10" t="str">
        <f>HYPERLINK("https://pbs.twimg.com/profile_images/885208236332384259/m_VLcRNB.jpg","View")</f>
        <v>View</v>
      </c>
    </row>
    <row r="2109" spans="1:21" ht="71.400000000000006">
      <c r="A2109" s="6">
        <v>43422.375983796301</v>
      </c>
      <c r="B2109" s="7" t="str">
        <f>HYPERLINK("https://twitter.com/_Aitana_R","@_Aitana_R")</f>
        <v>@_Aitana_R</v>
      </c>
      <c r="C2109" s="8" t="s">
        <v>4354</v>
      </c>
      <c r="D2109" s="9" t="s">
        <v>7237</v>
      </c>
      <c r="E2109" s="10" t="str">
        <f>HYPERLINK("https://twitter.com/_Aitana_R/status/1064201923132305409","1064201923132305409")</f>
        <v>1064201923132305409</v>
      </c>
      <c r="F2109" s="11" t="s">
        <v>7238</v>
      </c>
      <c r="G2109" s="11" t="s">
        <v>7239</v>
      </c>
      <c r="H2109" s="12"/>
      <c r="I2109" s="13">
        <v>2</v>
      </c>
      <c r="J2109" s="13">
        <v>0</v>
      </c>
      <c r="K2109" s="14" t="str">
        <f>HYPERLINK("http://twitter.com/download/iphone","Twitter for iPhone")</f>
        <v>Twitter for iPhone</v>
      </c>
      <c r="L2109" s="13">
        <v>1120</v>
      </c>
      <c r="M2109" s="13">
        <v>960</v>
      </c>
      <c r="N2109" s="13">
        <v>11</v>
      </c>
      <c r="O2109" s="15"/>
      <c r="P2109" s="6">
        <v>42555.235312500001</v>
      </c>
      <c r="Q2109" s="12"/>
      <c r="R2109" s="18"/>
      <c r="S2109" s="12"/>
      <c r="T2109" s="12"/>
      <c r="U2109" s="10" t="str">
        <f>HYPERLINK("https://pbs.twimg.com/profile_images/972413193241972736/RxmG9tac.jpg","View")</f>
        <v>View</v>
      </c>
    </row>
    <row r="2110" spans="1:21" ht="30.6">
      <c r="A2110" s="6">
        <v>43422.375625000001</v>
      </c>
      <c r="B2110" s="7" t="str">
        <f>HYPERLINK("https://twitter.com/DentroDelSotano","@DentroDelSotano")</f>
        <v>@DentroDelSotano</v>
      </c>
      <c r="C2110" s="8" t="s">
        <v>7240</v>
      </c>
      <c r="D2110" s="9" t="s">
        <v>7241</v>
      </c>
      <c r="E2110" s="10" t="str">
        <f>HYPERLINK("https://twitter.com/DentroDelSotano/status/1064201795684184064","1064201795684184064")</f>
        <v>1064201795684184064</v>
      </c>
      <c r="F2110" s="12"/>
      <c r="G2110" s="11" t="s">
        <v>7242</v>
      </c>
      <c r="H2110" s="12"/>
      <c r="I2110" s="13">
        <v>1</v>
      </c>
      <c r="J2110" s="13">
        <v>2</v>
      </c>
      <c r="K2110" s="14" t="str">
        <f t="shared" ref="K2110:K2113" si="395">HYPERLINK("http://twitter.com/download/android","Twitter for Android")</f>
        <v>Twitter for Android</v>
      </c>
      <c r="L2110" s="13">
        <v>155</v>
      </c>
      <c r="M2110" s="13">
        <v>238</v>
      </c>
      <c r="N2110" s="13">
        <v>2</v>
      </c>
      <c r="O2110" s="15"/>
      <c r="P2110" s="6">
        <v>42784.313067129631</v>
      </c>
      <c r="Q2110" s="17" t="s">
        <v>7243</v>
      </c>
      <c r="R2110" s="16" t="s">
        <v>7244</v>
      </c>
      <c r="S2110" s="12"/>
      <c r="T2110" s="12"/>
      <c r="U2110" s="10" t="str">
        <f>HYPERLINK("https://pbs.twimg.com/profile_images/832981499221770245/YadwGnLC.jpg","View")</f>
        <v>View</v>
      </c>
    </row>
    <row r="2111" spans="1:21" ht="30.6">
      <c r="A2111" s="6">
        <v>43422.375243055554</v>
      </c>
      <c r="B2111" s="7" t="str">
        <f>HYPERLINK("https://twitter.com/Xtorbat","@Xtorbat")</f>
        <v>@Xtorbat</v>
      </c>
      <c r="C2111" s="8" t="s">
        <v>7245</v>
      </c>
      <c r="D2111" s="9" t="s">
        <v>7246</v>
      </c>
      <c r="E2111" s="10" t="str">
        <f>HYPERLINK("https://twitter.com/Xtorbat/status/1064201654696845313","1064201654696845313")</f>
        <v>1064201654696845313</v>
      </c>
      <c r="F2111" s="11" t="s">
        <v>5479</v>
      </c>
      <c r="G2111" s="12"/>
      <c r="H2111" s="12"/>
      <c r="I2111" s="13">
        <v>0</v>
      </c>
      <c r="J2111" s="13">
        <v>0</v>
      </c>
      <c r="K2111" s="14" t="str">
        <f t="shared" si="395"/>
        <v>Twitter for Android</v>
      </c>
      <c r="L2111" s="13">
        <v>2576</v>
      </c>
      <c r="M2111" s="13">
        <v>1907</v>
      </c>
      <c r="N2111" s="13">
        <v>7</v>
      </c>
      <c r="O2111" s="15"/>
      <c r="P2111" s="6">
        <v>41498.565069444448</v>
      </c>
      <c r="Q2111" s="17" t="s">
        <v>695</v>
      </c>
      <c r="R2111" s="16" t="s">
        <v>7247</v>
      </c>
      <c r="S2111" s="12"/>
      <c r="T2111" s="12"/>
      <c r="U2111" s="10" t="str">
        <f>HYPERLINK("https://pbs.twimg.com/profile_images/977463649173409792/GuvA9J0W.jpg","View")</f>
        <v>View</v>
      </c>
    </row>
    <row r="2112" spans="1:21" ht="30.6">
      <c r="A2112" s="6">
        <v>43422.374548611115</v>
      </c>
      <c r="B2112" s="7" t="str">
        <f>HYPERLINK("https://twitter.com/AzoteCasta","@AzoteCasta")</f>
        <v>@AzoteCasta</v>
      </c>
      <c r="C2112" s="8" t="s">
        <v>7248</v>
      </c>
      <c r="D2112" s="9" t="s">
        <v>7249</v>
      </c>
      <c r="E2112" s="10" t="str">
        <f>HYPERLINK("https://twitter.com/AzoteCasta/status/1064201403290320896","1064201403290320896")</f>
        <v>1064201403290320896</v>
      </c>
      <c r="F2112" s="11" t="s">
        <v>7250</v>
      </c>
      <c r="G2112" s="12"/>
      <c r="H2112" s="12"/>
      <c r="I2112" s="13">
        <v>3</v>
      </c>
      <c r="J2112" s="13">
        <v>2</v>
      </c>
      <c r="K2112" s="14" t="str">
        <f t="shared" si="395"/>
        <v>Twitter for Android</v>
      </c>
      <c r="L2112" s="13">
        <v>3638</v>
      </c>
      <c r="M2112" s="13">
        <v>2743</v>
      </c>
      <c r="N2112" s="13">
        <v>63</v>
      </c>
      <c r="O2112" s="15"/>
      <c r="P2112" s="6">
        <v>41440.673819444448</v>
      </c>
      <c r="Q2112" s="17" t="s">
        <v>29</v>
      </c>
      <c r="R2112" s="16" t="s">
        <v>7251</v>
      </c>
      <c r="S2112" s="12"/>
      <c r="T2112" s="12"/>
      <c r="U2112" s="10" t="str">
        <f>HYPERLINK("https://pbs.twimg.com/profile_images/1037474236691042309/9t-T1AZv.jpg","View")</f>
        <v>View</v>
      </c>
    </row>
    <row r="2113" spans="1:21" ht="30.6">
      <c r="A2113" s="6">
        <v>43422.374386574069</v>
      </c>
      <c r="B2113" s="7" t="str">
        <f>HYPERLINK("https://twitter.com/fbarrospalacios","@fbarrospalacios")</f>
        <v>@fbarrospalacios</v>
      </c>
      <c r="C2113" s="8" t="s">
        <v>7252</v>
      </c>
      <c r="D2113" s="9" t="s">
        <v>7253</v>
      </c>
      <c r="E2113" s="10" t="str">
        <f>HYPERLINK("https://twitter.com/fbarrospalacios/status/1064201345408909313","1064201345408909313")</f>
        <v>1064201345408909313</v>
      </c>
      <c r="F2113" s="11" t="s">
        <v>4961</v>
      </c>
      <c r="G2113" s="12"/>
      <c r="H2113" s="12"/>
      <c r="I2113" s="13">
        <v>0</v>
      </c>
      <c r="J2113" s="13">
        <v>1</v>
      </c>
      <c r="K2113" s="14" t="str">
        <f t="shared" si="395"/>
        <v>Twitter for Android</v>
      </c>
      <c r="L2113" s="13">
        <v>162</v>
      </c>
      <c r="M2113" s="13">
        <v>212</v>
      </c>
      <c r="N2113" s="13">
        <v>2</v>
      </c>
      <c r="O2113" s="15"/>
      <c r="P2113" s="6">
        <v>43096.356689814813</v>
      </c>
      <c r="Q2113" s="17" t="s">
        <v>7254</v>
      </c>
      <c r="R2113" s="16" t="s">
        <v>7255</v>
      </c>
      <c r="S2113" s="12"/>
      <c r="T2113" s="12"/>
      <c r="U2113" s="10" t="str">
        <f>HYPERLINK("https://pbs.twimg.com/profile_images/966082315280674816/pTnScEdD.jpg","View")</f>
        <v>View</v>
      </c>
    </row>
    <row r="2114" spans="1:21" ht="20.399999999999999">
      <c r="A2114" s="6">
        <v>43422.373287037037</v>
      </c>
      <c r="B2114" s="7" t="str">
        <f>HYPERLINK("https://twitter.com/wrodriguez9","@wrodriguez9")</f>
        <v>@wrodriguez9</v>
      </c>
      <c r="C2114" s="8" t="s">
        <v>7256</v>
      </c>
      <c r="D2114" s="9" t="s">
        <v>7257</v>
      </c>
      <c r="E2114" s="10" t="str">
        <f>HYPERLINK("https://twitter.com/wrodriguez9/status/1064200945771401217","1064200945771401217")</f>
        <v>1064200945771401217</v>
      </c>
      <c r="F2114" s="11" t="s">
        <v>5968</v>
      </c>
      <c r="G2114" s="12"/>
      <c r="H2114" s="12"/>
      <c r="I2114" s="13">
        <v>0</v>
      </c>
      <c r="J2114" s="13">
        <v>0</v>
      </c>
      <c r="K2114" s="14" t="str">
        <f>HYPERLINK("https://mobile.twitter.com","Twitter Lite")</f>
        <v>Twitter Lite</v>
      </c>
      <c r="L2114" s="13">
        <v>133</v>
      </c>
      <c r="M2114" s="13">
        <v>288</v>
      </c>
      <c r="N2114" s="13">
        <v>0</v>
      </c>
      <c r="O2114" s="15"/>
      <c r="P2114" s="6">
        <v>41210.142465277779</v>
      </c>
      <c r="Q2114" s="12"/>
      <c r="R2114" s="18"/>
      <c r="S2114" s="12"/>
      <c r="T2114" s="12"/>
      <c r="U2114" s="10" t="str">
        <f>HYPERLINK("https://pbs.twimg.com/profile_images/2828561391/c1ad679fb35e19c03782f9504b73fba7.png","View")</f>
        <v>View</v>
      </c>
    </row>
    <row r="2115" spans="1:21" ht="40.799999999999997">
      <c r="A2115" s="6">
        <v>43422.370844907404</v>
      </c>
      <c r="B2115" s="7" t="str">
        <f>HYPERLINK("https://twitter.com/josegabriel467","@josegabriel467")</f>
        <v>@josegabriel467</v>
      </c>
      <c r="C2115" s="8" t="s">
        <v>1744</v>
      </c>
      <c r="D2115" s="9" t="s">
        <v>7258</v>
      </c>
      <c r="E2115" s="10" t="str">
        <f>HYPERLINK("https://twitter.com/josegabriel467/status/1064200062782369792","1064200062782369792")</f>
        <v>1064200062782369792</v>
      </c>
      <c r="F2115" s="12"/>
      <c r="G2115" s="12"/>
      <c r="H2115" s="12"/>
      <c r="I2115" s="13">
        <v>1</v>
      </c>
      <c r="J2115" s="13">
        <v>0</v>
      </c>
      <c r="K2115" s="14" t="str">
        <f>HYPERLINK("http://www.facebook.com/twitter","Facebook")</f>
        <v>Facebook</v>
      </c>
      <c r="L2115" s="13">
        <v>1624</v>
      </c>
      <c r="M2115" s="13">
        <v>1609</v>
      </c>
      <c r="N2115" s="13">
        <v>23</v>
      </c>
      <c r="O2115" s="15"/>
      <c r="P2115" s="6">
        <v>40844.160150462965</v>
      </c>
      <c r="Q2115" s="17" t="s">
        <v>29</v>
      </c>
      <c r="R2115" s="16" t="s">
        <v>1746</v>
      </c>
      <c r="S2115" s="11" t="s">
        <v>1747</v>
      </c>
      <c r="T2115" s="12"/>
      <c r="U2115" s="10" t="str">
        <f>HYPERLINK("https://pbs.twimg.com/profile_images/864586721966436354/WwV_o0gL.jpg","View")</f>
        <v>View</v>
      </c>
    </row>
    <row r="2116" spans="1:21" ht="40.799999999999997">
      <c r="A2116" s="6">
        <v>43422.370671296296</v>
      </c>
      <c r="B2116" s="7" t="str">
        <f>HYPERLINK("https://twitter.com/caval100","@caval100")</f>
        <v>@caval100</v>
      </c>
      <c r="C2116" s="8" t="s">
        <v>1350</v>
      </c>
      <c r="D2116" s="9" t="s">
        <v>7259</v>
      </c>
      <c r="E2116" s="10" t="str">
        <f>HYPERLINK("https://twitter.com/caval100/status/1064199998177464321","1064199998177464321")</f>
        <v>1064199998177464321</v>
      </c>
      <c r="F2116" s="11" t="s">
        <v>5997</v>
      </c>
      <c r="G2116" s="11" t="s">
        <v>7260</v>
      </c>
      <c r="H2116" s="12"/>
      <c r="I2116" s="13">
        <v>0</v>
      </c>
      <c r="J2116" s="13">
        <v>0</v>
      </c>
      <c r="K2116" s="14" t="str">
        <f t="shared" ref="K2116:K2117" si="396">HYPERLINK("http://twitter.com/download/android","Twitter for Android")</f>
        <v>Twitter for Android</v>
      </c>
      <c r="L2116" s="13">
        <v>119224</v>
      </c>
      <c r="M2116" s="13">
        <v>94076</v>
      </c>
      <c r="N2116" s="13">
        <v>980</v>
      </c>
      <c r="O2116" s="15"/>
      <c r="P2116" s="6">
        <v>40079.062094907407</v>
      </c>
      <c r="Q2116" s="17" t="s">
        <v>971</v>
      </c>
      <c r="R2116" s="16" t="s">
        <v>1352</v>
      </c>
      <c r="S2116" s="11" t="s">
        <v>1353</v>
      </c>
      <c r="T2116" s="12"/>
      <c r="U2116" s="10" t="str">
        <f>HYPERLINK("https://pbs.twimg.com/profile_images/965350678301429760/uvGI7g8U.jpg","View")</f>
        <v>View</v>
      </c>
    </row>
    <row r="2117" spans="1:21" ht="40.799999999999997">
      <c r="A2117" s="6">
        <v>43422.368229166663</v>
      </c>
      <c r="B2117" s="7" t="str">
        <f>HYPERLINK("https://twitter.com/DeAbdera_","@DeAbdera_")</f>
        <v>@DeAbdera_</v>
      </c>
      <c r="C2117" s="8" t="s">
        <v>7261</v>
      </c>
      <c r="D2117" s="9" t="s">
        <v>7262</v>
      </c>
      <c r="E2117" s="10" t="str">
        <f>HYPERLINK("https://twitter.com/DeAbdera_/status/1064199116744519680","1064199116744519680")</f>
        <v>1064199116744519680</v>
      </c>
      <c r="F2117" s="12"/>
      <c r="G2117" s="12"/>
      <c r="H2117" s="12"/>
      <c r="I2117" s="13">
        <v>0</v>
      </c>
      <c r="J2117" s="13">
        <v>0</v>
      </c>
      <c r="K2117" s="14" t="str">
        <f t="shared" si="396"/>
        <v>Twitter for Android</v>
      </c>
      <c r="L2117" s="13">
        <v>8</v>
      </c>
      <c r="M2117" s="13">
        <v>9</v>
      </c>
      <c r="N2117" s="13">
        <v>0</v>
      </c>
      <c r="O2117" s="15"/>
      <c r="P2117" s="6">
        <v>43272.292222222226</v>
      </c>
      <c r="Q2117" s="12"/>
      <c r="R2117" s="16" t="s">
        <v>7263</v>
      </c>
      <c r="S2117" s="12"/>
      <c r="T2117" s="12"/>
      <c r="U2117" s="10" t="str">
        <f>HYPERLINK("https://pbs.twimg.com/profile_images/1009813423306231809/ld937_OC.jpg","View")</f>
        <v>View</v>
      </c>
    </row>
    <row r="2118" spans="1:21" ht="30.6">
      <c r="A2118" s="6">
        <v>43422.368055555555</v>
      </c>
      <c r="B2118" s="7" t="str">
        <f>HYPERLINK("https://twitter.com/elperiodico","@elperiodico")</f>
        <v>@elperiodico</v>
      </c>
      <c r="C2118" s="8" t="s">
        <v>2057</v>
      </c>
      <c r="D2118" s="9" t="s">
        <v>7264</v>
      </c>
      <c r="E2118" s="10" t="str">
        <f>HYPERLINK("https://twitter.com/elperiodico/status/1064199052697497601","1064199052697497601")</f>
        <v>1064199052697497601</v>
      </c>
      <c r="F2118" s="11" t="s">
        <v>7265</v>
      </c>
      <c r="G2118" s="12"/>
      <c r="H2118" s="12"/>
      <c r="I2118" s="13">
        <v>19</v>
      </c>
      <c r="J2118" s="13">
        <v>28</v>
      </c>
      <c r="K2118" s="14" t="str">
        <f>HYPERLINK("http://dogtrack.es","DogTrack_Oficial")</f>
        <v>DogTrack_Oficial</v>
      </c>
      <c r="L2118" s="13">
        <v>596514</v>
      </c>
      <c r="M2118" s="13">
        <v>18498</v>
      </c>
      <c r="N2118" s="13">
        <v>6920</v>
      </c>
      <c r="O2118" s="19" t="s">
        <v>74</v>
      </c>
      <c r="P2118" s="6">
        <v>40456.164560185185</v>
      </c>
      <c r="Q2118" s="17" t="s">
        <v>187</v>
      </c>
      <c r="R2118" s="16" t="s">
        <v>2060</v>
      </c>
      <c r="S2118" s="11" t="s">
        <v>566</v>
      </c>
      <c r="T2118" s="12"/>
      <c r="U2118" s="10" t="str">
        <f>HYPERLINK("https://pbs.twimg.com/profile_images/876802324135653377/s4G6oS9o.jpg","View")</f>
        <v>View</v>
      </c>
    </row>
    <row r="2119" spans="1:21" ht="20.399999999999999">
      <c r="A2119" s="6">
        <v>43422.364074074074</v>
      </c>
      <c r="B2119" s="7" t="str">
        <f>HYPERLINK("https://twitter.com/_Recuperando","@_Recuperando")</f>
        <v>@_Recuperando</v>
      </c>
      <c r="C2119" s="8" t="s">
        <v>7267</v>
      </c>
      <c r="D2119" s="9" t="s">
        <v>4028</v>
      </c>
      <c r="E2119" s="10" t="str">
        <f>HYPERLINK("https://twitter.com/_Recuperando/status/1064197608300781570","1064197608300781570")</f>
        <v>1064197608300781570</v>
      </c>
      <c r="F2119" s="11" t="s">
        <v>4029</v>
      </c>
      <c r="G2119" s="12"/>
      <c r="H2119" s="12"/>
      <c r="I2119" s="13">
        <v>4</v>
      </c>
      <c r="J2119" s="13">
        <v>4</v>
      </c>
      <c r="K2119" s="14" t="str">
        <f>HYPERLINK("http://twitter.com/download/android","Twitter for Android")</f>
        <v>Twitter for Android</v>
      </c>
      <c r="L2119" s="13">
        <v>596</v>
      </c>
      <c r="M2119" s="13">
        <v>94</v>
      </c>
      <c r="N2119" s="13">
        <v>8</v>
      </c>
      <c r="O2119" s="15"/>
      <c r="P2119" s="6">
        <v>42717.467430555553</v>
      </c>
      <c r="Q2119" s="12"/>
      <c r="R2119" s="16" t="s">
        <v>7269</v>
      </c>
      <c r="S2119" s="12"/>
      <c r="T2119" s="12"/>
      <c r="U2119" s="10" t="str">
        <f>HYPERLINK("https://pbs.twimg.com/profile_images/808762269714812928/dRicK9iv.jpg","View")</f>
        <v>View</v>
      </c>
    </row>
    <row r="2120" spans="1:21" ht="20.399999999999999">
      <c r="A2120" s="6">
        <v>43422.364050925928</v>
      </c>
      <c r="B2120" s="7" t="str">
        <f>HYPERLINK("https://twitter.com/lafm_es","@lafm_es")</f>
        <v>@lafm_es</v>
      </c>
      <c r="C2120" s="8" t="s">
        <v>7270</v>
      </c>
      <c r="D2120" s="9" t="s">
        <v>7271</v>
      </c>
      <c r="E2120" s="10" t="str">
        <f>HYPERLINK("https://twitter.com/lafm_es/status/1064197601891942401","1064197601891942401")</f>
        <v>1064197601891942401</v>
      </c>
      <c r="F2120" s="11" t="s">
        <v>7272</v>
      </c>
      <c r="G2120" s="11" t="s">
        <v>7273</v>
      </c>
      <c r="H2120" s="12"/>
      <c r="I2120" s="13">
        <v>1</v>
      </c>
      <c r="J2120" s="13">
        <v>1</v>
      </c>
      <c r="K2120" s="14" t="str">
        <f t="shared" ref="K2120:K2122" si="397">HYPERLINK("http://twitter.com","Twitter Web Client")</f>
        <v>Twitter Web Client</v>
      </c>
      <c r="L2120" s="13">
        <v>1951</v>
      </c>
      <c r="M2120" s="13">
        <v>2568</v>
      </c>
      <c r="N2120" s="13">
        <v>41</v>
      </c>
      <c r="O2120" s="15"/>
      <c r="P2120" s="6">
        <v>42285.668402777781</v>
      </c>
      <c r="Q2120" s="17" t="s">
        <v>830</v>
      </c>
      <c r="R2120" s="16" t="s">
        <v>7274</v>
      </c>
      <c r="S2120" s="11" t="s">
        <v>7275</v>
      </c>
      <c r="T2120" s="12"/>
      <c r="U2120" s="10" t="str">
        <f>HYPERLINK("https://pbs.twimg.com/profile_images/972085023884152832/oKl62acg.jpg","View")</f>
        <v>View</v>
      </c>
    </row>
    <row r="2121" spans="1:21" ht="30.6">
      <c r="A2121" s="6">
        <v>43422.363923611112</v>
      </c>
      <c r="B2121" s="7" t="str">
        <f>HYPERLINK("https://twitter.com/elCorreoWeb","@elCorreoWeb")</f>
        <v>@elCorreoWeb</v>
      </c>
      <c r="C2121" s="8" t="s">
        <v>7276</v>
      </c>
      <c r="D2121" s="9" t="s">
        <v>7277</v>
      </c>
      <c r="E2121" s="10" t="str">
        <f>HYPERLINK("https://twitter.com/elCorreoWeb/status/1064197555653918720","1064197555653918720")</f>
        <v>1064197555653918720</v>
      </c>
      <c r="F2121" s="11" t="s">
        <v>7278</v>
      </c>
      <c r="G2121" s="12"/>
      <c r="H2121" s="12"/>
      <c r="I2121" s="13">
        <v>0</v>
      </c>
      <c r="J2121" s="13">
        <v>4</v>
      </c>
      <c r="K2121" s="14" t="str">
        <f t="shared" si="397"/>
        <v>Twitter Web Client</v>
      </c>
      <c r="L2121" s="13">
        <v>142756</v>
      </c>
      <c r="M2121" s="13">
        <v>777</v>
      </c>
      <c r="N2121" s="13">
        <v>1495</v>
      </c>
      <c r="O2121" s="19" t="s">
        <v>74</v>
      </c>
      <c r="P2121" s="6">
        <v>39924.120451388888</v>
      </c>
      <c r="Q2121" s="17" t="s">
        <v>118</v>
      </c>
      <c r="R2121" s="16" t="s">
        <v>7279</v>
      </c>
      <c r="S2121" s="11" t="s">
        <v>7280</v>
      </c>
      <c r="T2121" s="12"/>
      <c r="U2121" s="10" t="str">
        <f>HYPERLINK("https://pbs.twimg.com/profile_images/537649694655016960/jy5BdNs_.png","View")</f>
        <v>View</v>
      </c>
    </row>
    <row r="2122" spans="1:21" ht="30.6">
      <c r="A2122" s="6">
        <v>43422.363483796296</v>
      </c>
      <c r="B2122" s="7" t="str">
        <f>HYPERLINK("https://twitter.com/CorsarioScout","@CorsarioScout")</f>
        <v>@CorsarioScout</v>
      </c>
      <c r="C2122" s="8" t="s">
        <v>1721</v>
      </c>
      <c r="D2122" s="9" t="s">
        <v>7025</v>
      </c>
      <c r="E2122" s="10" t="str">
        <f>HYPERLINK("https://twitter.com/CorsarioScout/status/1064197394663964677","1064197394663964677")</f>
        <v>1064197394663964677</v>
      </c>
      <c r="F2122" s="11" t="s">
        <v>5715</v>
      </c>
      <c r="G2122" s="12"/>
      <c r="H2122" s="12"/>
      <c r="I2122" s="13">
        <v>0</v>
      </c>
      <c r="J2122" s="13">
        <v>0</v>
      </c>
      <c r="K2122" s="14" t="str">
        <f t="shared" si="397"/>
        <v>Twitter Web Client</v>
      </c>
      <c r="L2122" s="13">
        <v>250</v>
      </c>
      <c r="M2122" s="13">
        <v>376</v>
      </c>
      <c r="N2122" s="13">
        <v>2</v>
      </c>
      <c r="O2122" s="15"/>
      <c r="P2122" s="6">
        <v>41138.271597222221</v>
      </c>
      <c r="Q2122" s="17" t="s">
        <v>1724</v>
      </c>
      <c r="R2122" s="16" t="s">
        <v>1725</v>
      </c>
      <c r="S2122" s="12"/>
      <c r="T2122" s="12"/>
      <c r="U2122" s="10" t="str">
        <f>HYPERLINK("https://pbs.twimg.com/profile_images/1055860612448837632/oAocJrOe.jpg","View")</f>
        <v>View</v>
      </c>
    </row>
    <row r="2123" spans="1:21" ht="40.799999999999997">
      <c r="A2123" s="6">
        <v>43422.363032407404</v>
      </c>
      <c r="B2123" s="7" t="str">
        <f>HYPERLINK("https://twitter.com/MHUEL_","@MHUEL_")</f>
        <v>@MHUEL_</v>
      </c>
      <c r="C2123" s="8" t="s">
        <v>7281</v>
      </c>
      <c r="D2123" s="9" t="s">
        <v>4028</v>
      </c>
      <c r="E2123" s="10" t="str">
        <f>HYPERLINK("https://twitter.com/MHUEL_/status/1064197231664922624","1064197231664922624")</f>
        <v>1064197231664922624</v>
      </c>
      <c r="F2123" s="11" t="s">
        <v>4029</v>
      </c>
      <c r="G2123" s="12"/>
      <c r="H2123" s="12"/>
      <c r="I2123" s="13">
        <v>0</v>
      </c>
      <c r="J2123" s="13">
        <v>0</v>
      </c>
      <c r="K2123" s="14" t="str">
        <f t="shared" ref="K2123:K2124" si="398">HYPERLINK("http://twitter.com/download/android","Twitter for Android")</f>
        <v>Twitter for Android</v>
      </c>
      <c r="L2123" s="13">
        <v>3952</v>
      </c>
      <c r="M2123" s="13">
        <v>3407</v>
      </c>
      <c r="N2123" s="13">
        <v>79</v>
      </c>
      <c r="O2123" s="15"/>
      <c r="P2123" s="6">
        <v>40843.655011574076</v>
      </c>
      <c r="Q2123" s="11" t="s">
        <v>7282</v>
      </c>
      <c r="R2123" s="16" t="s">
        <v>7283</v>
      </c>
      <c r="S2123" s="11" t="s">
        <v>7284</v>
      </c>
      <c r="T2123" s="12"/>
      <c r="U2123" s="10" t="str">
        <f>HYPERLINK("https://pbs.twimg.com/profile_images/1609837624/mhuel_grande.png","View")</f>
        <v>View</v>
      </c>
    </row>
    <row r="2124" spans="1:21" ht="30.6">
      <c r="A2124" s="6">
        <v>43422.36215277778</v>
      </c>
      <c r="B2124" s="7" t="str">
        <f>HYPERLINK("https://twitter.com/BraisRodrguez1","@BraisRodrguez1")</f>
        <v>@BraisRodrguez1</v>
      </c>
      <c r="C2124" s="8" t="s">
        <v>2255</v>
      </c>
      <c r="D2124" s="9" t="s">
        <v>7285</v>
      </c>
      <c r="E2124" s="10" t="str">
        <f>HYPERLINK("https://twitter.com/BraisRodrguez1/status/1064196912788750337","1064196912788750337")</f>
        <v>1064196912788750337</v>
      </c>
      <c r="F2124" s="12"/>
      <c r="G2124" s="12"/>
      <c r="H2124" s="12"/>
      <c r="I2124" s="13">
        <v>0</v>
      </c>
      <c r="J2124" s="13">
        <v>1</v>
      </c>
      <c r="K2124" s="14" t="str">
        <f t="shared" si="398"/>
        <v>Twitter for Android</v>
      </c>
      <c r="L2124" s="13">
        <v>1029</v>
      </c>
      <c r="M2124" s="13">
        <v>5000</v>
      </c>
      <c r="N2124" s="13">
        <v>29</v>
      </c>
      <c r="O2124" s="15"/>
      <c r="P2124" s="6">
        <v>42566.293576388889</v>
      </c>
      <c r="Q2124" s="17" t="s">
        <v>2258</v>
      </c>
      <c r="R2124" s="16" t="s">
        <v>2259</v>
      </c>
      <c r="S2124" s="12"/>
      <c r="T2124" s="12"/>
      <c r="U2124" s="10" t="str">
        <f>HYPERLINK("https://pbs.twimg.com/profile_images/1056547291597848576/fhCYdHDt.jpg","View")</f>
        <v>View</v>
      </c>
    </row>
    <row r="2125" spans="1:21" ht="51">
      <c r="A2125" s="6">
        <v>43422.358078703706</v>
      </c>
      <c r="B2125" s="7" t="str">
        <f>HYPERLINK("https://twitter.com/BelkisAmerchanG","@BelkisAmerchanG")</f>
        <v>@BelkisAmerchanG</v>
      </c>
      <c r="C2125" s="8" t="s">
        <v>7286</v>
      </c>
      <c r="D2125" s="9" t="s">
        <v>7287</v>
      </c>
      <c r="E2125" s="10" t="str">
        <f>HYPERLINK("https://twitter.com/BelkisAmerchanG/status/1064195437027082240","1064195437027082240")</f>
        <v>1064195437027082240</v>
      </c>
      <c r="F2125" s="11" t="s">
        <v>7288</v>
      </c>
      <c r="G2125" s="12"/>
      <c r="H2125" s="12"/>
      <c r="I2125" s="13">
        <v>0</v>
      </c>
      <c r="J2125" s="13">
        <v>0</v>
      </c>
      <c r="K2125" s="14" t="str">
        <f>HYPERLINK("http://twitter.com","Twitter Web Client")</f>
        <v>Twitter Web Client</v>
      </c>
      <c r="L2125" s="13">
        <v>97</v>
      </c>
      <c r="M2125" s="13">
        <v>160</v>
      </c>
      <c r="N2125" s="13">
        <v>1</v>
      </c>
      <c r="O2125" s="15"/>
      <c r="P2125" s="6">
        <v>41985.365046296298</v>
      </c>
      <c r="Q2125" s="17" t="s">
        <v>7289</v>
      </c>
      <c r="R2125" s="16" t="s">
        <v>7290</v>
      </c>
      <c r="S2125" s="11" t="s">
        <v>7291</v>
      </c>
      <c r="T2125" s="12"/>
      <c r="U2125" s="10" t="str">
        <f>HYPERLINK("https://pbs.twimg.com/profile_images/544659323733811200/NrAJM3iT.jpeg","View")</f>
        <v>View</v>
      </c>
    </row>
    <row r="2126" spans="1:21" ht="40.799999999999997">
      <c r="A2126" s="6">
        <v>43422.356111111112</v>
      </c>
      <c r="B2126" s="7" t="str">
        <f>HYPERLINK("https://twitter.com/pgsspanish","@pgsspanish")</f>
        <v>@pgsspanish</v>
      </c>
      <c r="C2126" s="8" t="s">
        <v>7292</v>
      </c>
      <c r="D2126" s="9" t="s">
        <v>7293</v>
      </c>
      <c r="E2126" s="10" t="str">
        <f>HYPERLINK("https://twitter.com/pgsspanish/status/1064194722191876098","1064194722191876098")</f>
        <v>1064194722191876098</v>
      </c>
      <c r="F2126" s="11" t="s">
        <v>7294</v>
      </c>
      <c r="G2126" s="12"/>
      <c r="H2126" s="12"/>
      <c r="I2126" s="13">
        <v>0</v>
      </c>
      <c r="J2126" s="13">
        <v>0</v>
      </c>
      <c r="K2126" s="14" t="str">
        <f>HYPERLINK("http://twitter.com/download/iphone","Twitter for iPhone")</f>
        <v>Twitter for iPhone</v>
      </c>
      <c r="L2126" s="13">
        <v>146</v>
      </c>
      <c r="M2126" s="13">
        <v>15</v>
      </c>
      <c r="N2126" s="13">
        <v>3</v>
      </c>
      <c r="O2126" s="15"/>
      <c r="P2126" s="6">
        <v>41725.532569444447</v>
      </c>
      <c r="Q2126" s="17" t="s">
        <v>7295</v>
      </c>
      <c r="R2126" s="18"/>
      <c r="S2126" s="12"/>
      <c r="T2126" s="12"/>
      <c r="U2126" s="10" t="str">
        <f>HYPERLINK("https://pbs.twimg.com/profile_images/521990534080901123/cJLgo376.jpeg","View")</f>
        <v>View</v>
      </c>
    </row>
    <row r="2127" spans="1:21" ht="20.399999999999999">
      <c r="A2127" s="6">
        <v>43422.355763888889</v>
      </c>
      <c r="B2127" s="7" t="str">
        <f>HYPERLINK("https://twitter.com/AliBerMer","@AliBerMer")</f>
        <v>@AliBerMer</v>
      </c>
      <c r="C2127" s="8" t="s">
        <v>7296</v>
      </c>
      <c r="D2127" s="9" t="s">
        <v>7297</v>
      </c>
      <c r="E2127" s="10" t="str">
        <f>HYPERLINK("https://twitter.com/AliBerMer/status/1064194598061441024","1064194598061441024")</f>
        <v>1064194598061441024</v>
      </c>
      <c r="F2127" s="11" t="s">
        <v>6993</v>
      </c>
      <c r="G2127" s="12"/>
      <c r="H2127" s="12"/>
      <c r="I2127" s="13">
        <v>0</v>
      </c>
      <c r="J2127" s="13">
        <v>0</v>
      </c>
      <c r="K2127" s="14" t="str">
        <f>HYPERLINK("http://twitter.com/download/android","Twitter for Android")</f>
        <v>Twitter for Android</v>
      </c>
      <c r="L2127" s="13">
        <v>1484</v>
      </c>
      <c r="M2127" s="13">
        <v>1544</v>
      </c>
      <c r="N2127" s="13">
        <v>39</v>
      </c>
      <c r="O2127" s="15"/>
      <c r="P2127" s="6">
        <v>40665.381354166668</v>
      </c>
      <c r="Q2127" s="17" t="s">
        <v>4438</v>
      </c>
      <c r="R2127" s="16" t="s">
        <v>7298</v>
      </c>
      <c r="S2127" s="12"/>
      <c r="T2127" s="12"/>
      <c r="U2127" s="10" t="str">
        <f>HYPERLINK("https://pbs.twimg.com/profile_images/996468990213083136/V1w0iOP_.jpg","View")</f>
        <v>View</v>
      </c>
    </row>
    <row r="2128" spans="1:21" ht="30.6">
      <c r="A2128" s="6">
        <v>43422.354328703703</v>
      </c>
      <c r="B2128" s="7" t="str">
        <f>HYPERLINK("https://twitter.com/almunyecar","@almunyecar")</f>
        <v>@almunyecar</v>
      </c>
      <c r="C2128" s="8" t="s">
        <v>7299</v>
      </c>
      <c r="D2128" s="9" t="s">
        <v>7300</v>
      </c>
      <c r="E2128" s="10" t="str">
        <f>HYPERLINK("https://twitter.com/almunyecar/status/1064194076843655169","1064194076843655169")</f>
        <v>1064194076843655169</v>
      </c>
      <c r="F2128" s="12"/>
      <c r="G2128" s="12"/>
      <c r="H2128" s="12"/>
      <c r="I2128" s="13">
        <v>0</v>
      </c>
      <c r="J2128" s="13">
        <v>0</v>
      </c>
      <c r="K2128" s="14" t="str">
        <f>HYPERLINK("https://mobile.twitter.com","Twitter Lite")</f>
        <v>Twitter Lite</v>
      </c>
      <c r="L2128" s="13">
        <v>3693</v>
      </c>
      <c r="M2128" s="13">
        <v>3398</v>
      </c>
      <c r="N2128" s="13">
        <v>69</v>
      </c>
      <c r="O2128" s="15"/>
      <c r="P2128" s="6">
        <v>42618.162488425922</v>
      </c>
      <c r="Q2128" s="12"/>
      <c r="R2128" s="18"/>
      <c r="S2128" s="12"/>
      <c r="T2128" s="12"/>
      <c r="U2128" s="10" t="str">
        <f>HYPERLINK("https://pbs.twimg.com/profile_images/806466698643697664/uHb-iHbN.jpg","View")</f>
        <v>View</v>
      </c>
    </row>
    <row r="2129" spans="1:21" ht="81.599999999999994">
      <c r="A2129" s="6">
        <v>43422.353738425925</v>
      </c>
      <c r="B2129" s="7" t="str">
        <f>HYPERLINK("https://twitter.com/PepitaMenaMart1","@PepitaMenaMart1")</f>
        <v>@PepitaMenaMart1</v>
      </c>
      <c r="C2129" s="8" t="s">
        <v>3432</v>
      </c>
      <c r="D2129" s="9" t="s">
        <v>7301</v>
      </c>
      <c r="E2129" s="10" t="str">
        <f>HYPERLINK("https://twitter.com/PepitaMenaMart1/status/1064193861839392768","1064193861839392768")</f>
        <v>1064193861839392768</v>
      </c>
      <c r="F2129" s="17" t="s">
        <v>7302</v>
      </c>
      <c r="G2129" s="12"/>
      <c r="H2129" s="12"/>
      <c r="I2129" s="13">
        <v>8</v>
      </c>
      <c r="J2129" s="13">
        <v>8</v>
      </c>
      <c r="K2129" s="14" t="str">
        <f>HYPERLINK("http://twitter.com/download/android","Twitter for Android")</f>
        <v>Twitter for Android</v>
      </c>
      <c r="L2129" s="13">
        <v>408</v>
      </c>
      <c r="M2129" s="13">
        <v>334</v>
      </c>
      <c r="N2129" s="13">
        <v>1</v>
      </c>
      <c r="O2129" s="15"/>
      <c r="P2129" s="6">
        <v>43124.513506944444</v>
      </c>
      <c r="Q2129" s="17" t="s">
        <v>3435</v>
      </c>
      <c r="R2129" s="16" t="s">
        <v>3436</v>
      </c>
      <c r="S2129" s="12"/>
      <c r="T2129" s="12"/>
      <c r="U2129" s="10" t="str">
        <f>HYPERLINK("https://pbs.twimg.com/profile_images/1053410905311064064/xChXdA8v.jpg","View")</f>
        <v>View</v>
      </c>
    </row>
    <row r="2130" spans="1:21" ht="40.799999999999997">
      <c r="A2130" s="6">
        <v>43422.352523148147</v>
      </c>
      <c r="B2130" s="7" t="str">
        <f>HYPERLINK("https://twitter.com/ferlopezmar","@ferlopezmar")</f>
        <v>@ferlopezmar</v>
      </c>
      <c r="C2130" s="8" t="s">
        <v>3094</v>
      </c>
      <c r="D2130" s="9" t="s">
        <v>7303</v>
      </c>
      <c r="E2130" s="10" t="str">
        <f>HYPERLINK("https://twitter.com/ferlopezmar/status/1064193423522058241","1064193423522058241")</f>
        <v>1064193423522058241</v>
      </c>
      <c r="F2130" s="11" t="s">
        <v>4961</v>
      </c>
      <c r="G2130" s="12"/>
      <c r="H2130" s="12"/>
      <c r="I2130" s="13">
        <v>3</v>
      </c>
      <c r="J2130" s="13">
        <v>1</v>
      </c>
      <c r="K2130" s="14" t="str">
        <f>HYPERLINK("http://twitter.com/#!/download/ipad","Twitter for iPad")</f>
        <v>Twitter for iPad</v>
      </c>
      <c r="L2130" s="13">
        <v>8527</v>
      </c>
      <c r="M2130" s="13">
        <v>7196</v>
      </c>
      <c r="N2130" s="13">
        <v>97</v>
      </c>
      <c r="O2130" s="15"/>
      <c r="P2130" s="6">
        <v>40640.366249999999</v>
      </c>
      <c r="Q2130" s="17" t="s">
        <v>3096</v>
      </c>
      <c r="R2130" s="16" t="s">
        <v>3097</v>
      </c>
      <c r="S2130" s="12"/>
      <c r="T2130" s="12"/>
      <c r="U2130" s="10" t="str">
        <f>HYPERLINK("https://pbs.twimg.com/profile_images/454697018347515904/jMF4_85M.jpeg","View")</f>
        <v>View</v>
      </c>
    </row>
    <row r="2131" spans="1:21" ht="40.799999999999997">
      <c r="A2131" s="6">
        <v>43422.350752314815</v>
      </c>
      <c r="B2131" s="7" t="str">
        <f>HYPERLINK("https://twitter.com/lextresabogados","@lextresabogados")</f>
        <v>@lextresabogados</v>
      </c>
      <c r="C2131" s="8" t="s">
        <v>59</v>
      </c>
      <c r="D2131" s="9" t="s">
        <v>7304</v>
      </c>
      <c r="E2131" s="10" t="str">
        <f>HYPERLINK("https://twitter.com/lextresabogados/status/1064192781915181056","1064192781915181056")</f>
        <v>1064192781915181056</v>
      </c>
      <c r="F2131" s="11" t="s">
        <v>7305</v>
      </c>
      <c r="G2131" s="12"/>
      <c r="H2131" s="12"/>
      <c r="I2131" s="13">
        <v>0</v>
      </c>
      <c r="J2131" s="13">
        <v>0</v>
      </c>
      <c r="K2131" s="14" t="str">
        <f>HYPERLINK("http://35.180.36.179","botize nueva")</f>
        <v>botize nueva</v>
      </c>
      <c r="L2131" s="13">
        <v>2229</v>
      </c>
      <c r="M2131" s="13">
        <v>3277</v>
      </c>
      <c r="N2131" s="13">
        <v>21</v>
      </c>
      <c r="O2131" s="15"/>
      <c r="P2131" s="6">
        <v>42880.395949074074</v>
      </c>
      <c r="Q2131" s="17" t="s">
        <v>62</v>
      </c>
      <c r="R2131" s="16" t="s">
        <v>63</v>
      </c>
      <c r="S2131" s="11" t="s">
        <v>64</v>
      </c>
      <c r="T2131" s="12"/>
      <c r="U2131" s="10" t="str">
        <f>HYPERLINK("https://pbs.twimg.com/profile_images/1058352229546164224/xnNCczNu.jpg","View")</f>
        <v>View</v>
      </c>
    </row>
    <row r="2132" spans="1:21" ht="40.799999999999997">
      <c r="A2132" s="6">
        <v>43422.350393518514</v>
      </c>
      <c r="B2132" s="7" t="str">
        <f>HYPERLINK("https://twitter.com/AntonioSaldanaM","@AntonioSaldanaM")</f>
        <v>@AntonioSaldanaM</v>
      </c>
      <c r="C2132" s="8" t="s">
        <v>7266</v>
      </c>
      <c r="D2132" s="9" t="s">
        <v>7306</v>
      </c>
      <c r="E2132" s="10" t="str">
        <f>HYPERLINK("https://twitter.com/AntonioSaldanaM/status/1064192651497521152","1064192651497521152")</f>
        <v>1064192651497521152</v>
      </c>
      <c r="F2132" s="12"/>
      <c r="G2132" s="11" t="s">
        <v>7307</v>
      </c>
      <c r="H2132" s="12"/>
      <c r="I2132" s="13">
        <v>3</v>
      </c>
      <c r="J2132" s="13">
        <v>7</v>
      </c>
      <c r="K2132" s="14" t="str">
        <f>HYPERLINK("http://twitter.com/download/iphone","Twitter for iPhone")</f>
        <v>Twitter for iPhone</v>
      </c>
      <c r="L2132" s="13">
        <v>4050</v>
      </c>
      <c r="M2132" s="13">
        <v>2456</v>
      </c>
      <c r="N2132" s="13">
        <v>60</v>
      </c>
      <c r="O2132" s="15"/>
      <c r="P2132" s="6">
        <v>40048.213993055557</v>
      </c>
      <c r="Q2132" s="17" t="s">
        <v>2123</v>
      </c>
      <c r="R2132" s="16" t="s">
        <v>7268</v>
      </c>
      <c r="S2132" s="12"/>
      <c r="T2132" s="12"/>
      <c r="U2132" s="10" t="str">
        <f>HYPERLINK("https://pbs.twimg.com/profile_images/975086547048566786/y1kRdKMb.jpg","View")</f>
        <v>View</v>
      </c>
    </row>
    <row r="2133" spans="1:21" ht="20.399999999999999">
      <c r="A2133" s="6">
        <v>43422.347280092596</v>
      </c>
      <c r="B2133" s="7" t="str">
        <f>HYPERLINK("https://twitter.com/LaGacetaSA","@LaGacetaSA")</f>
        <v>@LaGacetaSA</v>
      </c>
      <c r="C2133" s="8" t="s">
        <v>7308</v>
      </c>
      <c r="D2133" s="9" t="s">
        <v>7309</v>
      </c>
      <c r="E2133" s="10" t="str">
        <f>HYPERLINK("https://twitter.com/LaGacetaSA/status/1064191524668354563","1064191524668354563")</f>
        <v>1064191524668354563</v>
      </c>
      <c r="F2133" s="11" t="s">
        <v>7310</v>
      </c>
      <c r="G2133" s="12"/>
      <c r="H2133" s="12"/>
      <c r="I2133" s="13">
        <v>0</v>
      </c>
      <c r="J2133" s="13">
        <v>0</v>
      </c>
      <c r="K2133" s="14" t="str">
        <f>HYPERLINK("https://www.hootsuite.com","Hootsuite Inc.")</f>
        <v>Hootsuite Inc.</v>
      </c>
      <c r="L2133" s="13">
        <v>33525</v>
      </c>
      <c r="M2133" s="13">
        <v>380</v>
      </c>
      <c r="N2133" s="13">
        <v>450</v>
      </c>
      <c r="O2133" s="15"/>
      <c r="P2133" s="6">
        <v>40381.373888888891</v>
      </c>
      <c r="Q2133" s="17" t="s">
        <v>526</v>
      </c>
      <c r="R2133" s="16" t="s">
        <v>7311</v>
      </c>
      <c r="S2133" s="11" t="s">
        <v>7312</v>
      </c>
      <c r="T2133" s="12"/>
      <c r="U2133" s="10" t="str">
        <f>HYPERLINK("https://pbs.twimg.com/profile_images/899529275325521921/G78hnC_A.jpg","View")</f>
        <v>View</v>
      </c>
    </row>
    <row r="2134" spans="1:21" ht="30.6">
      <c r="A2134" s="6">
        <v>43422.347222222219</v>
      </c>
      <c r="B2134" s="7" t="str">
        <f>HYPERLINK("https://twitter.com/laSextaTV","@laSextaTV")</f>
        <v>@laSextaTV</v>
      </c>
      <c r="C2134" s="8" t="s">
        <v>2417</v>
      </c>
      <c r="D2134" s="9" t="s">
        <v>7313</v>
      </c>
      <c r="E2134" s="10" t="str">
        <f>HYPERLINK("https://twitter.com/laSextaTV/status/1064191504208588801","1064191504208588801")</f>
        <v>1064191504208588801</v>
      </c>
      <c r="F2134" s="11" t="s">
        <v>7314</v>
      </c>
      <c r="G2134" s="12"/>
      <c r="H2134" s="12"/>
      <c r="I2134" s="13">
        <v>4</v>
      </c>
      <c r="J2134" s="13">
        <v>8</v>
      </c>
      <c r="K2134" s="14" t="str">
        <f>HYPERLINK("http://dogtrack.es","DogTrack_Oficial")</f>
        <v>DogTrack_Oficial</v>
      </c>
      <c r="L2134" s="13">
        <v>912516</v>
      </c>
      <c r="M2134" s="13">
        <v>304</v>
      </c>
      <c r="N2134" s="13">
        <v>5843</v>
      </c>
      <c r="O2134" s="19" t="s">
        <v>74</v>
      </c>
      <c r="P2134" s="6">
        <v>39877.429710648146</v>
      </c>
      <c r="Q2134" s="17" t="s">
        <v>374</v>
      </c>
      <c r="R2134" s="16" t="s">
        <v>2421</v>
      </c>
      <c r="S2134" s="11" t="s">
        <v>2422</v>
      </c>
      <c r="T2134" s="12"/>
      <c r="U2134" s="10" t="str">
        <f>HYPERLINK("https://pbs.twimg.com/profile_images/898966361426231296/0sS0RzFh.jpg","View")</f>
        <v>View</v>
      </c>
    </row>
    <row r="2135" spans="1:21" ht="51">
      <c r="A2135" s="6">
        <v>43422.345636574071</v>
      </c>
      <c r="B2135" s="7" t="str">
        <f>HYPERLINK("https://twitter.com/LuisJavierSanj2","@LuisJavierSanj2")</f>
        <v>@LuisJavierSanj2</v>
      </c>
      <c r="C2135" s="8" t="s">
        <v>2584</v>
      </c>
      <c r="D2135" s="9" t="s">
        <v>7315</v>
      </c>
      <c r="E2135" s="10" t="str">
        <f>HYPERLINK("https://twitter.com/LuisJavierSanj2/status/1064190926208286721","1064190926208286721")</f>
        <v>1064190926208286721</v>
      </c>
      <c r="F2135" s="11" t="s">
        <v>4961</v>
      </c>
      <c r="G2135" s="12"/>
      <c r="H2135" s="12"/>
      <c r="I2135" s="13">
        <v>5</v>
      </c>
      <c r="J2135" s="13">
        <v>3</v>
      </c>
      <c r="K2135" s="14" t="str">
        <f>HYPERLINK("http://twitter.com/download/android","Twitter for Android")</f>
        <v>Twitter for Android</v>
      </c>
      <c r="L2135" s="13">
        <v>809</v>
      </c>
      <c r="M2135" s="13">
        <v>1236</v>
      </c>
      <c r="N2135" s="13">
        <v>1</v>
      </c>
      <c r="O2135" s="15"/>
      <c r="P2135" s="6">
        <v>43017.496759259258</v>
      </c>
      <c r="Q2135" s="12"/>
      <c r="R2135" s="16" t="s">
        <v>2587</v>
      </c>
      <c r="S2135" s="12"/>
      <c r="T2135" s="12"/>
      <c r="U2135" s="10" t="str">
        <f>HYPERLINK("https://pbs.twimg.com/profile_images/983037090681245696/C-KQIcbF.jpg","View")</f>
        <v>View</v>
      </c>
    </row>
    <row r="2136" spans="1:21" ht="30.6">
      <c r="A2136" s="6">
        <v>43422.344525462962</v>
      </c>
      <c r="B2136" s="7" t="str">
        <f>HYPERLINK("https://twitter.com/Republica_com","@Republica_com")</f>
        <v>@Republica_com</v>
      </c>
      <c r="C2136" s="20" t="s">
        <v>7316</v>
      </c>
      <c r="D2136" s="9" t="s">
        <v>7317</v>
      </c>
      <c r="E2136" s="10" t="str">
        <f>HYPERLINK("https://twitter.com/Republica_com/status/1064190522892435463","1064190522892435463")</f>
        <v>1064190522892435463</v>
      </c>
      <c r="F2136" s="11" t="s">
        <v>7159</v>
      </c>
      <c r="G2136" s="11" t="s">
        <v>7318</v>
      </c>
      <c r="H2136" s="12"/>
      <c r="I2136" s="13">
        <v>0</v>
      </c>
      <c r="J2136" s="13">
        <v>1</v>
      </c>
      <c r="K2136" s="14" t="str">
        <f>HYPERLINK("https://www.republica.com","Republica_com")</f>
        <v>Republica_com</v>
      </c>
      <c r="L2136" s="13">
        <v>10107</v>
      </c>
      <c r="M2136" s="13">
        <v>1227</v>
      </c>
      <c r="N2136" s="13">
        <v>465</v>
      </c>
      <c r="O2136" s="15"/>
      <c r="P2136" s="6">
        <v>40240.308865740742</v>
      </c>
      <c r="Q2136" s="17" t="s">
        <v>29</v>
      </c>
      <c r="R2136" s="16" t="s">
        <v>7319</v>
      </c>
      <c r="S2136" s="11" t="s">
        <v>7320</v>
      </c>
      <c r="T2136" s="12"/>
      <c r="U2136" s="10" t="str">
        <f>HYPERLINK("https://pbs.twimg.com/profile_images/553133695133941760/v--ksuL8.png","View")</f>
        <v>View</v>
      </c>
    </row>
    <row r="2137" spans="1:21" ht="30.6">
      <c r="A2137" s="6">
        <v>43422.343865740739</v>
      </c>
      <c r="B2137" s="7" t="str">
        <f>HYPERLINK("https://twitter.com/camfb5","@camfb5")</f>
        <v>@camfb5</v>
      </c>
      <c r="C2137" s="8" t="s">
        <v>7321</v>
      </c>
      <c r="D2137" s="9" t="s">
        <v>7322</v>
      </c>
      <c r="E2137" s="10" t="str">
        <f>HYPERLINK("https://twitter.com/camfb5/status/1064190287873015813","1064190287873015813")</f>
        <v>1064190287873015813</v>
      </c>
      <c r="F2137" s="11" t="s">
        <v>7323</v>
      </c>
      <c r="G2137" s="12"/>
      <c r="H2137" s="12"/>
      <c r="I2137" s="13">
        <v>0</v>
      </c>
      <c r="J2137" s="13">
        <v>0</v>
      </c>
      <c r="K2137" s="14" t="str">
        <f>HYPERLINK("http://twitter.com","Twitter Web Client")</f>
        <v>Twitter Web Client</v>
      </c>
      <c r="L2137" s="13">
        <v>27</v>
      </c>
      <c r="M2137" s="13">
        <v>370</v>
      </c>
      <c r="N2137" s="13">
        <v>1</v>
      </c>
      <c r="O2137" s="15"/>
      <c r="P2137" s="6">
        <v>42264.661226851851</v>
      </c>
      <c r="Q2137" s="12"/>
      <c r="R2137" s="16" t="s">
        <v>7324</v>
      </c>
      <c r="S2137" s="12"/>
      <c r="T2137" s="12"/>
      <c r="U2137" s="10" t="str">
        <f>HYPERLINK("https://pbs.twimg.com/profile_images/900058223817961474/V30O76K6.jpg","View")</f>
        <v>View</v>
      </c>
    </row>
    <row r="2138" spans="1:21" ht="20.399999999999999">
      <c r="A2138" s="6">
        <v>43422.341006944444</v>
      </c>
      <c r="B2138" s="7" t="str">
        <f>HYPERLINK("https://twitter.com/EmparJuseu","@EmparJuseu")</f>
        <v>@EmparJuseu</v>
      </c>
      <c r="C2138" s="8" t="s">
        <v>7325</v>
      </c>
      <c r="D2138" s="9" t="s">
        <v>7326</v>
      </c>
      <c r="E2138" s="10" t="str">
        <f>HYPERLINK("https://twitter.com/EmparJuseu/status/1064189250537705472","1064189250537705472")</f>
        <v>1064189250537705472</v>
      </c>
      <c r="F2138" s="12"/>
      <c r="G2138" s="12"/>
      <c r="H2138" s="12"/>
      <c r="I2138" s="13">
        <v>0</v>
      </c>
      <c r="J2138" s="13">
        <v>1</v>
      </c>
      <c r="K2138" s="14" t="str">
        <f>HYPERLINK("http://twitter.com/download/android","Twitter for Android")</f>
        <v>Twitter for Android</v>
      </c>
      <c r="L2138" s="13">
        <v>63</v>
      </c>
      <c r="M2138" s="13">
        <v>142</v>
      </c>
      <c r="N2138" s="13">
        <v>2</v>
      </c>
      <c r="O2138" s="15"/>
      <c r="P2138" s="6">
        <v>41034.573923611111</v>
      </c>
      <c r="Q2138" s="17" t="s">
        <v>7327</v>
      </c>
      <c r="R2138" s="18"/>
      <c r="S2138" s="12"/>
      <c r="T2138" s="12"/>
      <c r="U2138" s="10" t="str">
        <f>HYPERLINK("https://pbs.twimg.com/profile_images/663397799531323392/Wl2DOdhg.jpg","View")</f>
        <v>View</v>
      </c>
    </row>
    <row r="2139" spans="1:21" ht="30.6">
      <c r="A2139" s="6">
        <v>43422.340011574073</v>
      </c>
      <c r="B2139" s="7" t="str">
        <f>HYPERLINK("https://twitter.com/LaVanguardia","@LaVanguardia")</f>
        <v>@LaVanguardia</v>
      </c>
      <c r="C2139" s="8" t="s">
        <v>3704</v>
      </c>
      <c r="D2139" s="9" t="s">
        <v>7304</v>
      </c>
      <c r="E2139" s="10" t="str">
        <f>HYPERLINK("https://twitter.com/LaVanguardia/status/1064188887533346816","1064188887533346816")</f>
        <v>1064188887533346816</v>
      </c>
      <c r="F2139" s="11" t="s">
        <v>7305</v>
      </c>
      <c r="G2139" s="12"/>
      <c r="H2139" s="12"/>
      <c r="I2139" s="13">
        <v>0</v>
      </c>
      <c r="J2139" s="13">
        <v>1</v>
      </c>
      <c r="K2139" s="14" t="str">
        <f>HYPERLINK("http://www.lavanguardia.es","App publicación twits DGRID")</f>
        <v>App publicación twits DGRID</v>
      </c>
      <c r="L2139" s="13">
        <v>997176</v>
      </c>
      <c r="M2139" s="13">
        <v>523</v>
      </c>
      <c r="N2139" s="13">
        <v>12534</v>
      </c>
      <c r="O2139" s="19" t="s">
        <v>74</v>
      </c>
      <c r="P2139" s="6">
        <v>40071.289548611108</v>
      </c>
      <c r="Q2139" s="17" t="s">
        <v>187</v>
      </c>
      <c r="R2139" s="16" t="s">
        <v>3705</v>
      </c>
      <c r="S2139" s="11" t="s">
        <v>3706</v>
      </c>
      <c r="T2139" s="12"/>
      <c r="U2139" s="10" t="str">
        <f>HYPERLINK("https://pbs.twimg.com/profile_images/936873783721320448/6Q97S0pp.jpg","View")</f>
        <v>View</v>
      </c>
    </row>
    <row r="2140" spans="1:21" ht="20.399999999999999">
      <c r="A2140" s="6">
        <v>43422.339004629626</v>
      </c>
      <c r="B2140" s="7" t="str">
        <f>HYPERLINK("https://twitter.com/joseantoniope7","@joseantoniope7")</f>
        <v>@joseantoniope7</v>
      </c>
      <c r="C2140" s="8" t="s">
        <v>4151</v>
      </c>
      <c r="D2140" s="9" t="s">
        <v>6641</v>
      </c>
      <c r="E2140" s="10" t="str">
        <f>HYPERLINK("https://twitter.com/joseantoniope7/status/1064188526185644032","1064188526185644032")</f>
        <v>1064188526185644032</v>
      </c>
      <c r="F2140" s="11" t="s">
        <v>5715</v>
      </c>
      <c r="G2140" s="12"/>
      <c r="H2140" s="12"/>
      <c r="I2140" s="13">
        <v>1</v>
      </c>
      <c r="J2140" s="13">
        <v>1</v>
      </c>
      <c r="K2140" s="14" t="str">
        <f>HYPERLINK("http://twitter.com","Twitter Web Client")</f>
        <v>Twitter Web Client</v>
      </c>
      <c r="L2140" s="13">
        <v>712</v>
      </c>
      <c r="M2140" s="13">
        <v>1983</v>
      </c>
      <c r="N2140" s="13">
        <v>0</v>
      </c>
      <c r="O2140" s="15"/>
      <c r="P2140" s="6">
        <v>43139.443483796298</v>
      </c>
      <c r="Q2140" s="17" t="s">
        <v>4154</v>
      </c>
      <c r="R2140" s="18"/>
      <c r="S2140" s="12"/>
      <c r="T2140" s="12"/>
      <c r="U2140" s="10" t="str">
        <f>HYPERLINK("https://pbs.twimg.com/profile_images/961680432218681344/v8phrPeB.jpg","View")</f>
        <v>View</v>
      </c>
    </row>
    <row r="2141" spans="1:21" ht="40.799999999999997">
      <c r="A2141" s="6">
        <v>43422.335277777776</v>
      </c>
      <c r="B2141" s="7" t="str">
        <f>HYPERLINK("https://twitter.com/avefdez","@avefdez")</f>
        <v>@avefdez</v>
      </c>
      <c r="C2141" s="8" t="s">
        <v>7330</v>
      </c>
      <c r="D2141" s="9" t="s">
        <v>7331</v>
      </c>
      <c r="E2141" s="10" t="str">
        <f>HYPERLINK("https://twitter.com/avefdez/status/1064187173828784128","1064187173828784128")</f>
        <v>1064187173828784128</v>
      </c>
      <c r="F2141" s="11" t="s">
        <v>6778</v>
      </c>
      <c r="G2141" s="12"/>
      <c r="H2141" s="12"/>
      <c r="I2141" s="13">
        <v>0</v>
      </c>
      <c r="J2141" s="13">
        <v>0</v>
      </c>
      <c r="K2141" s="14" t="str">
        <f>HYPERLINK("https://paper.li","Paper.li")</f>
        <v>Paper.li</v>
      </c>
      <c r="L2141" s="13">
        <v>9474</v>
      </c>
      <c r="M2141" s="13">
        <v>9975</v>
      </c>
      <c r="N2141" s="13">
        <v>283</v>
      </c>
      <c r="O2141" s="15"/>
      <c r="P2141" s="6">
        <v>40111.205428240741</v>
      </c>
      <c r="Q2141" s="17" t="s">
        <v>7332</v>
      </c>
      <c r="R2141" s="16" t="s">
        <v>7333</v>
      </c>
      <c r="S2141" s="11" t="s">
        <v>7334</v>
      </c>
      <c r="T2141" s="12"/>
      <c r="U2141" s="10" t="str">
        <f>HYPERLINK("https://pbs.twimg.com/profile_images/980567725591457792/5wCL5RHF.jpg","View")</f>
        <v>View</v>
      </c>
    </row>
    <row r="2142" spans="1:21" ht="20.399999999999999">
      <c r="A2142" s="6">
        <v>43422.33421296296</v>
      </c>
      <c r="B2142" s="7" t="str">
        <f>HYPERLINK("https://twitter.com/camdefer","@camdefer")</f>
        <v>@camdefer</v>
      </c>
      <c r="C2142" s="8" t="s">
        <v>7335</v>
      </c>
      <c r="D2142" s="9" t="s">
        <v>6641</v>
      </c>
      <c r="E2142" s="10" t="str">
        <f>HYPERLINK("https://twitter.com/camdefer/status/1064186786216361986","1064186786216361986")</f>
        <v>1064186786216361986</v>
      </c>
      <c r="F2142" s="11" t="s">
        <v>5715</v>
      </c>
      <c r="G2142" s="12"/>
      <c r="H2142" s="12"/>
      <c r="I2142" s="13">
        <v>0</v>
      </c>
      <c r="J2142" s="13">
        <v>0</v>
      </c>
      <c r="K2142" s="14" t="str">
        <f t="shared" ref="K2142:K2143" si="399">HYPERLINK("http://twitter.com","Twitter Web Client")</f>
        <v>Twitter Web Client</v>
      </c>
      <c r="L2142" s="13">
        <v>845</v>
      </c>
      <c r="M2142" s="13">
        <v>2158</v>
      </c>
      <c r="N2142" s="13">
        <v>3</v>
      </c>
      <c r="O2142" s="15"/>
      <c r="P2142" s="6">
        <v>42856.171377314815</v>
      </c>
      <c r="Q2142" s="17" t="s">
        <v>7336</v>
      </c>
      <c r="R2142" s="16" t="s">
        <v>7337</v>
      </c>
      <c r="S2142" s="12"/>
      <c r="T2142" s="12"/>
      <c r="U2142" s="10" t="str">
        <f>HYPERLINK("https://pbs.twimg.com/profile_images/1033771880317165568/hoCzhb4V.jpg","View")</f>
        <v>View</v>
      </c>
    </row>
    <row r="2143" spans="1:21" ht="20.399999999999999">
      <c r="A2143" s="6">
        <v>43422.329699074078</v>
      </c>
      <c r="B2143" s="7" t="str">
        <f>HYPERLINK("https://twitter.com/ESCORPIONROJO59","@ESCORPIONROJO59")</f>
        <v>@ESCORPIONROJO59</v>
      </c>
      <c r="C2143" s="8" t="s">
        <v>7338</v>
      </c>
      <c r="D2143" s="9" t="s">
        <v>5246</v>
      </c>
      <c r="E2143" s="10" t="str">
        <f>HYPERLINK("https://twitter.com/ESCORPIONROJO59/status/1064185151154991104","1064185151154991104")</f>
        <v>1064185151154991104</v>
      </c>
      <c r="F2143" s="11" t="s">
        <v>4961</v>
      </c>
      <c r="G2143" s="12"/>
      <c r="H2143" s="12"/>
      <c r="I2143" s="13">
        <v>0</v>
      </c>
      <c r="J2143" s="13">
        <v>0</v>
      </c>
      <c r="K2143" s="14" t="str">
        <f t="shared" si="399"/>
        <v>Twitter Web Client</v>
      </c>
      <c r="L2143" s="13">
        <v>21</v>
      </c>
      <c r="M2143" s="13">
        <v>21</v>
      </c>
      <c r="N2143" s="13">
        <v>0</v>
      </c>
      <c r="O2143" s="15"/>
      <c r="P2143" s="6">
        <v>40225.841736111113</v>
      </c>
      <c r="Q2143" s="17" t="s">
        <v>7340</v>
      </c>
      <c r="R2143" s="16" t="s">
        <v>7341</v>
      </c>
      <c r="S2143" s="12"/>
      <c r="T2143" s="12"/>
      <c r="U2143" s="10" t="str">
        <f>HYPERLINK("https://pbs.twimg.com/profile_images/700621790/Auto.jpg","View")</f>
        <v>View</v>
      </c>
    </row>
    <row r="2144" spans="1:21" ht="51">
      <c r="A2144" s="6">
        <v>43422.328090277777</v>
      </c>
      <c r="B2144" s="7" t="str">
        <f>HYPERLINK("https://twitter.com/Galgo_rojo","@Galgo_rojo")</f>
        <v>@Galgo_rojo</v>
      </c>
      <c r="C2144" s="8" t="s">
        <v>7342</v>
      </c>
      <c r="D2144" s="9" t="s">
        <v>7343</v>
      </c>
      <c r="E2144" s="10" t="str">
        <f>HYPERLINK("https://twitter.com/Galgo_rojo/status/1064184567874166785","1064184567874166785")</f>
        <v>1064184567874166785</v>
      </c>
      <c r="F2144" s="17" t="s">
        <v>439</v>
      </c>
      <c r="G2144" s="11" t="s">
        <v>440</v>
      </c>
      <c r="H2144" s="12"/>
      <c r="I2144" s="13">
        <v>0</v>
      </c>
      <c r="J2144" s="13">
        <v>1</v>
      </c>
      <c r="K2144" s="14" t="str">
        <f>HYPERLINK("http://twitter.com/download/iphone","Twitter for iPhone")</f>
        <v>Twitter for iPhone</v>
      </c>
      <c r="L2144" s="13">
        <v>2008</v>
      </c>
      <c r="M2144" s="13">
        <v>3377</v>
      </c>
      <c r="N2144" s="13">
        <v>10</v>
      </c>
      <c r="O2144" s="15"/>
      <c r="P2144" s="6">
        <v>41639.116030092591</v>
      </c>
      <c r="Q2144" s="12"/>
      <c r="R2144" s="16" t="s">
        <v>7344</v>
      </c>
      <c r="S2144" s="12"/>
      <c r="T2144" s="12"/>
      <c r="U2144" s="10" t="str">
        <f>HYPERLINK("https://pbs.twimg.com/profile_images/840531948640600064/5BM-iq3S.jpg","View")</f>
        <v>View</v>
      </c>
    </row>
    <row r="2145" spans="1:21" ht="20.399999999999999">
      <c r="A2145" s="6">
        <v>43422.325659722221</v>
      </c>
      <c r="B2145" s="7" t="str">
        <f>HYPERLINK("https://twitter.com/Sergioshlero","@Sergioshlero")</f>
        <v>@Sergioshlero</v>
      </c>
      <c r="C2145" s="8" t="s">
        <v>7345</v>
      </c>
      <c r="D2145" s="9" t="s">
        <v>7346</v>
      </c>
      <c r="E2145" s="10" t="str">
        <f>HYPERLINK("https://twitter.com/Sergioshlero/status/1064183689679183873","1064183689679183873")</f>
        <v>1064183689679183873</v>
      </c>
      <c r="F2145" s="12"/>
      <c r="G2145" s="12"/>
      <c r="H2145" s="12"/>
      <c r="I2145" s="13">
        <v>0</v>
      </c>
      <c r="J2145" s="13">
        <v>1</v>
      </c>
      <c r="K2145" s="14" t="str">
        <f t="shared" ref="K2145:K2147" si="400">HYPERLINK("http://twitter.com/download/android","Twitter for Android")</f>
        <v>Twitter for Android</v>
      </c>
      <c r="L2145" s="13">
        <v>449</v>
      </c>
      <c r="M2145" s="13">
        <v>261</v>
      </c>
      <c r="N2145" s="13">
        <v>9</v>
      </c>
      <c r="O2145" s="15"/>
      <c r="P2145" s="6">
        <v>41352.168541666666</v>
      </c>
      <c r="Q2145" s="17" t="s">
        <v>7347</v>
      </c>
      <c r="R2145" s="16" t="s">
        <v>7348</v>
      </c>
      <c r="S2145" s="12"/>
      <c r="T2145" s="12"/>
      <c r="U2145" s="10" t="str">
        <f>HYPERLINK("https://pbs.twimg.com/profile_images/1065979355631943680/zC-Cfqi1.jpg","View")</f>
        <v>View</v>
      </c>
    </row>
    <row r="2146" spans="1:21" ht="30.6">
      <c r="A2146" s="6">
        <v>43422.325462962966</v>
      </c>
      <c r="B2146" s="7" t="str">
        <f>HYPERLINK("https://twitter.com/18dejulio36","@18dejulio36")</f>
        <v>@18dejulio36</v>
      </c>
      <c r="C2146" s="8" t="s">
        <v>7349</v>
      </c>
      <c r="D2146" s="9" t="s">
        <v>7350</v>
      </c>
      <c r="E2146" s="10" t="str">
        <f>HYPERLINK("https://twitter.com/18dejulio36/status/1064183617843355650","1064183617843355650")</f>
        <v>1064183617843355650</v>
      </c>
      <c r="F2146" s="17" t="s">
        <v>7351</v>
      </c>
      <c r="G2146" s="12"/>
      <c r="H2146" s="12"/>
      <c r="I2146" s="13">
        <v>0</v>
      </c>
      <c r="J2146" s="13">
        <v>0</v>
      </c>
      <c r="K2146" s="14" t="str">
        <f t="shared" si="400"/>
        <v>Twitter for Android</v>
      </c>
      <c r="L2146" s="13">
        <v>1320</v>
      </c>
      <c r="M2146" s="13">
        <v>641</v>
      </c>
      <c r="N2146" s="13">
        <v>83</v>
      </c>
      <c r="O2146" s="15"/>
      <c r="P2146" s="6">
        <v>41509.135497685187</v>
      </c>
      <c r="Q2146" s="17" t="s">
        <v>7352</v>
      </c>
      <c r="R2146" s="16" t="s">
        <v>7353</v>
      </c>
      <c r="S2146" s="12"/>
      <c r="T2146" s="12"/>
      <c r="U2146" s="10" t="str">
        <f>HYPERLINK("https://pbs.twimg.com/profile_images/647371484000845824/XCHRL0HG.jpg","View")</f>
        <v>View</v>
      </c>
    </row>
    <row r="2147" spans="1:21" ht="40.799999999999997">
      <c r="A2147" s="6">
        <v>43422.325439814813</v>
      </c>
      <c r="B2147" s="7" t="str">
        <f>HYPERLINK("https://twitter.com/CatalaDePonent","@CatalaDePonent")</f>
        <v>@CatalaDePonent</v>
      </c>
      <c r="C2147" s="8" t="s">
        <v>7354</v>
      </c>
      <c r="D2147" s="9" t="s">
        <v>7355</v>
      </c>
      <c r="E2147" s="10" t="str">
        <f>HYPERLINK("https://twitter.com/CatalaDePonent/status/1064183609471442944","1064183609471442944")</f>
        <v>1064183609471442944</v>
      </c>
      <c r="F2147" s="12"/>
      <c r="G2147" s="11" t="s">
        <v>7356</v>
      </c>
      <c r="H2147" s="12"/>
      <c r="I2147" s="13">
        <v>2</v>
      </c>
      <c r="J2147" s="13">
        <v>1</v>
      </c>
      <c r="K2147" s="14" t="str">
        <f t="shared" si="400"/>
        <v>Twitter for Android</v>
      </c>
      <c r="L2147" s="13">
        <v>1171</v>
      </c>
      <c r="M2147" s="13">
        <v>1476</v>
      </c>
      <c r="N2147" s="13">
        <v>2</v>
      </c>
      <c r="O2147" s="15"/>
      <c r="P2147" s="6">
        <v>43159.169756944444</v>
      </c>
      <c r="Q2147" s="17" t="s">
        <v>7357</v>
      </c>
      <c r="R2147" s="16" t="s">
        <v>7358</v>
      </c>
      <c r="S2147" s="11" t="s">
        <v>7359</v>
      </c>
      <c r="T2147" s="12"/>
      <c r="U2147" s="10" t="str">
        <f>HYPERLINK("https://pbs.twimg.com/profile_images/988692586775875584/QOu9KpZt.jpg","View")</f>
        <v>View</v>
      </c>
    </row>
    <row r="2148" spans="1:21" ht="40.799999999999997">
      <c r="A2148" s="6">
        <v>43422.325150462959</v>
      </c>
      <c r="B2148" s="7" t="str">
        <f>HYPERLINK("https://twitter.com/Sanfermin00","@Sanfermin00")</f>
        <v>@Sanfermin00</v>
      </c>
      <c r="C2148" s="8" t="s">
        <v>3375</v>
      </c>
      <c r="D2148" s="9" t="s">
        <v>6483</v>
      </c>
      <c r="E2148" s="10" t="str">
        <f>HYPERLINK("https://twitter.com/Sanfermin00/status/1064183505561796611","1064183505561796611")</f>
        <v>1064183505561796611</v>
      </c>
      <c r="F2148" s="11" t="s">
        <v>7360</v>
      </c>
      <c r="G2148" s="12"/>
      <c r="H2148" s="12"/>
      <c r="I2148" s="13">
        <v>0</v>
      </c>
      <c r="J2148" s="13">
        <v>0</v>
      </c>
      <c r="K2148" s="14" t="str">
        <f t="shared" ref="K2148:K2149" si="401">HYPERLINK("http://twitter.com","Twitter Web Client")</f>
        <v>Twitter Web Client</v>
      </c>
      <c r="L2148" s="13">
        <v>16392</v>
      </c>
      <c r="M2148" s="13">
        <v>13582</v>
      </c>
      <c r="N2148" s="13">
        <v>123</v>
      </c>
      <c r="O2148" s="15"/>
      <c r="P2148" s="6">
        <v>42362.262083333335</v>
      </c>
      <c r="Q2148" s="17" t="s">
        <v>3378</v>
      </c>
      <c r="R2148" s="16" t="s">
        <v>3379</v>
      </c>
      <c r="S2148" s="11" t="s">
        <v>3380</v>
      </c>
      <c r="T2148" s="12"/>
      <c r="U2148" s="10" t="str">
        <f>HYPERLINK("https://pbs.twimg.com/profile_images/1064102923624480768/j11dV2-u.jpg","View")</f>
        <v>View</v>
      </c>
    </row>
    <row r="2149" spans="1:21" ht="40.799999999999997">
      <c r="A2149" s="6">
        <v>43422.32508101852</v>
      </c>
      <c r="B2149" s="7" t="str">
        <f>HYPERLINK("https://twitter.com/falcarazfer","@falcarazfer")</f>
        <v>@falcarazfer</v>
      </c>
      <c r="C2149" s="8" t="s">
        <v>1486</v>
      </c>
      <c r="D2149" s="9" t="s">
        <v>7361</v>
      </c>
      <c r="E2149" s="10" t="str">
        <f>HYPERLINK("https://twitter.com/falcarazfer/status/1064183479330582530","1064183479330582530")</f>
        <v>1064183479330582530</v>
      </c>
      <c r="F2149" s="11" t="s">
        <v>7362</v>
      </c>
      <c r="G2149" s="12"/>
      <c r="H2149" s="12"/>
      <c r="I2149" s="13">
        <v>0</v>
      </c>
      <c r="J2149" s="13">
        <v>0</v>
      </c>
      <c r="K2149" s="14" t="str">
        <f t="shared" si="401"/>
        <v>Twitter Web Client</v>
      </c>
      <c r="L2149" s="13">
        <v>3519</v>
      </c>
      <c r="M2149" s="13">
        <v>3474</v>
      </c>
      <c r="N2149" s="13">
        <v>52</v>
      </c>
      <c r="O2149" s="15"/>
      <c r="P2149" s="6">
        <v>41687.486030092594</v>
      </c>
      <c r="Q2149" s="12"/>
      <c r="R2149" s="16" t="s">
        <v>1489</v>
      </c>
      <c r="S2149" s="12"/>
      <c r="T2149" s="12"/>
      <c r="U2149" s="10" t="str">
        <f>HYPERLINK("https://pbs.twimg.com/profile_images/459014754648879105/Dt4Ki-pT.png","View")</f>
        <v>View</v>
      </c>
    </row>
    <row r="2150" spans="1:21" ht="20.399999999999999">
      <c r="A2150" s="6">
        <v>43422.322916666672</v>
      </c>
      <c r="B2150" s="7" t="str">
        <f>HYPERLINK("https://twitter.com/sextaNoticias","@sextaNoticias")</f>
        <v>@sextaNoticias</v>
      </c>
      <c r="C2150" s="8" t="s">
        <v>1556</v>
      </c>
      <c r="D2150" s="9" t="s">
        <v>7313</v>
      </c>
      <c r="E2150" s="10" t="str">
        <f>HYPERLINK("https://twitter.com/sextaNoticias/status/1064182696010752000","1064182696010752000")</f>
        <v>1064182696010752000</v>
      </c>
      <c r="F2150" s="11" t="s">
        <v>7363</v>
      </c>
      <c r="G2150" s="12"/>
      <c r="H2150" s="12"/>
      <c r="I2150" s="13">
        <v>1</v>
      </c>
      <c r="J2150" s="13">
        <v>10</v>
      </c>
      <c r="K2150" s="14" t="str">
        <f>HYPERLINK("http://dogtrack.es","DogTrack_Oficial")</f>
        <v>DogTrack_Oficial</v>
      </c>
      <c r="L2150" s="13">
        <v>1108908</v>
      </c>
      <c r="M2150" s="13">
        <v>279</v>
      </c>
      <c r="N2150" s="13">
        <v>7292</v>
      </c>
      <c r="O2150" s="19" t="s">
        <v>74</v>
      </c>
      <c r="P2150" s="6">
        <v>40099.239328703705</v>
      </c>
      <c r="Q2150" s="12"/>
      <c r="R2150" s="16" t="s">
        <v>1559</v>
      </c>
      <c r="S2150" s="11" t="s">
        <v>1560</v>
      </c>
      <c r="T2150" s="12"/>
      <c r="U2150" s="10" t="str">
        <f>HYPERLINK("https://pbs.twimg.com/profile_images/898970208551022592/hh3ITSK-.jpg","View")</f>
        <v>View</v>
      </c>
    </row>
    <row r="2151" spans="1:21" ht="51">
      <c r="A2151" s="6">
        <v>43422.322627314818</v>
      </c>
      <c r="B2151" s="7" t="str">
        <f>HYPERLINK("https://twitter.com/NNGGLosBarrios","@NNGGLosBarrios")</f>
        <v>@NNGGLosBarrios</v>
      </c>
      <c r="C2151" s="8" t="s">
        <v>7364</v>
      </c>
      <c r="D2151" s="9" t="s">
        <v>7365</v>
      </c>
      <c r="E2151" s="10" t="str">
        <f>HYPERLINK("https://twitter.com/NNGGLosBarrios/status/1064182587659350018","1064182587659350018")</f>
        <v>1064182587659350018</v>
      </c>
      <c r="F2151" s="12"/>
      <c r="G2151" s="11" t="s">
        <v>7366</v>
      </c>
      <c r="H2151" s="12"/>
      <c r="I2151" s="13">
        <v>4</v>
      </c>
      <c r="J2151" s="13">
        <v>3</v>
      </c>
      <c r="K2151" s="14" t="str">
        <f>HYPERLINK("http://twitter.com/download/iphone","Twitter for iPhone")</f>
        <v>Twitter for iPhone</v>
      </c>
      <c r="L2151" s="13">
        <v>398</v>
      </c>
      <c r="M2151" s="13">
        <v>349</v>
      </c>
      <c r="N2151" s="13">
        <v>4</v>
      </c>
      <c r="O2151" s="15"/>
      <c r="P2151" s="6">
        <v>41438.173171296294</v>
      </c>
      <c r="Q2151" s="17" t="s">
        <v>7367</v>
      </c>
      <c r="R2151" s="16" t="s">
        <v>7368</v>
      </c>
      <c r="S2151" s="11" t="s">
        <v>7369</v>
      </c>
      <c r="T2151" s="12"/>
      <c r="U2151" s="10" t="str">
        <f>HYPERLINK("https://pbs.twimg.com/profile_images/1021878104489451522/8E1WhVj0.jpg","View")</f>
        <v>View</v>
      </c>
    </row>
    <row r="2152" spans="1:21" ht="20.399999999999999">
      <c r="A2152" s="6">
        <v>43422.321504629625</v>
      </c>
      <c r="B2152" s="7" t="str">
        <f>HYPERLINK("https://twitter.com/caencomonueces","@caencomonueces")</f>
        <v>@caencomonueces</v>
      </c>
      <c r="C2152" s="8" t="s">
        <v>3270</v>
      </c>
      <c r="D2152" s="9" t="s">
        <v>6641</v>
      </c>
      <c r="E2152" s="10" t="str">
        <f>HYPERLINK("https://twitter.com/caencomonueces/status/1064182182980259840","1064182182980259840")</f>
        <v>1064182182980259840</v>
      </c>
      <c r="F2152" s="11" t="s">
        <v>5715</v>
      </c>
      <c r="G2152" s="12"/>
      <c r="H2152" s="12"/>
      <c r="I2152" s="13">
        <v>0</v>
      </c>
      <c r="J2152" s="13">
        <v>2</v>
      </c>
      <c r="K2152" s="14" t="str">
        <f>HYPERLINK("http://twitter.com/download/android","Twitter for Android")</f>
        <v>Twitter for Android</v>
      </c>
      <c r="L2152" s="13">
        <v>629</v>
      </c>
      <c r="M2152" s="13">
        <v>1153</v>
      </c>
      <c r="N2152" s="13">
        <v>3</v>
      </c>
      <c r="O2152" s="15"/>
      <c r="P2152" s="6">
        <v>41242.426539351851</v>
      </c>
      <c r="Q2152" s="17" t="s">
        <v>374</v>
      </c>
      <c r="R2152" s="16" t="s">
        <v>3272</v>
      </c>
      <c r="S2152" s="12"/>
      <c r="T2152" s="12"/>
      <c r="U2152" s="10" t="str">
        <f>HYPERLINK("https://pbs.twimg.com/profile_images/802542076420378628/S_52YFJA.jpg","View")</f>
        <v>View</v>
      </c>
    </row>
    <row r="2153" spans="1:21" ht="61.2">
      <c r="A2153" s="6">
        <v>43422.320821759262</v>
      </c>
      <c r="B2153" s="7" t="str">
        <f>HYPERLINK("https://twitter.com/LosBarriosPP","@LosBarriosPP")</f>
        <v>@LosBarriosPP</v>
      </c>
      <c r="C2153" s="8" t="s">
        <v>7370</v>
      </c>
      <c r="D2153" s="9" t="s">
        <v>7371</v>
      </c>
      <c r="E2153" s="10" t="str">
        <f>HYPERLINK("https://twitter.com/LosBarriosPP/status/1064181934681665536","1064181934681665536")</f>
        <v>1064181934681665536</v>
      </c>
      <c r="F2153" s="12"/>
      <c r="G2153" s="11" t="s">
        <v>7372</v>
      </c>
      <c r="H2153" s="12"/>
      <c r="I2153" s="13">
        <v>3</v>
      </c>
      <c r="J2153" s="13">
        <v>3</v>
      </c>
      <c r="K2153" s="14" t="str">
        <f t="shared" ref="K2153:K2154" si="402">HYPERLINK("http://twitter.com/download/iphone","Twitter for iPhone")</f>
        <v>Twitter for iPhone</v>
      </c>
      <c r="L2153" s="13">
        <v>519</v>
      </c>
      <c r="M2153" s="13">
        <v>380</v>
      </c>
      <c r="N2153" s="13">
        <v>10</v>
      </c>
      <c r="O2153" s="15"/>
      <c r="P2153" s="6">
        <v>41052.615393518521</v>
      </c>
      <c r="Q2153" s="17" t="s">
        <v>7373</v>
      </c>
      <c r="R2153" s="16" t="s">
        <v>7374</v>
      </c>
      <c r="S2153" s="11" t="s">
        <v>7369</v>
      </c>
      <c r="T2153" s="12"/>
      <c r="U2153" s="10" t="str">
        <f>HYPERLINK("https://pbs.twimg.com/profile_images/1021877906610499586/UW0B4BD2.jpg","View")</f>
        <v>View</v>
      </c>
    </row>
    <row r="2154" spans="1:21" ht="30.6">
      <c r="A2154" s="6">
        <v>43422.319965277777</v>
      </c>
      <c r="B2154" s="7" t="str">
        <f>HYPERLINK("https://twitter.com/franmaop","@franmaop")</f>
        <v>@franmaop</v>
      </c>
      <c r="C2154" s="8" t="s">
        <v>741</v>
      </c>
      <c r="D2154" s="9" t="s">
        <v>7375</v>
      </c>
      <c r="E2154" s="10" t="str">
        <f>HYPERLINK("https://twitter.com/franmaop/status/1064181626626891777","1064181626626891777")</f>
        <v>1064181626626891777</v>
      </c>
      <c r="F2154" s="11" t="s">
        <v>4961</v>
      </c>
      <c r="G2154" s="12"/>
      <c r="H2154" s="12"/>
      <c r="I2154" s="13">
        <v>4</v>
      </c>
      <c r="J2154" s="13">
        <v>4</v>
      </c>
      <c r="K2154" s="14" t="str">
        <f t="shared" si="402"/>
        <v>Twitter for iPhone</v>
      </c>
      <c r="L2154" s="13">
        <v>20682</v>
      </c>
      <c r="M2154" s="13">
        <v>13937</v>
      </c>
      <c r="N2154" s="13">
        <v>262</v>
      </c>
      <c r="O2154" s="15"/>
      <c r="P2154" s="6">
        <v>39471.384097222224</v>
      </c>
      <c r="Q2154" s="12"/>
      <c r="R2154" s="16" t="s">
        <v>744</v>
      </c>
      <c r="S2154" s="11" t="s">
        <v>745</v>
      </c>
      <c r="T2154" s="12"/>
      <c r="U2154" s="10" t="str">
        <f>HYPERLINK("https://pbs.twimg.com/profile_images/875780226206371842/FMywaV54.jpg","View")</f>
        <v>View</v>
      </c>
    </row>
    <row r="2155" spans="1:21" ht="20.399999999999999">
      <c r="A2155" s="6">
        <v>43422.31821759259</v>
      </c>
      <c r="B2155" s="7" t="str">
        <f>HYPERLINK("https://twitter.com/mollypanticosa","@mollypanticosa")</f>
        <v>@mollypanticosa</v>
      </c>
      <c r="C2155" s="8" t="s">
        <v>7376</v>
      </c>
      <c r="D2155" s="9" t="s">
        <v>7377</v>
      </c>
      <c r="E2155" s="10" t="str">
        <f>HYPERLINK("https://twitter.com/mollypanticosa/status/1064180992129318912","1064180992129318912")</f>
        <v>1064180992129318912</v>
      </c>
      <c r="F2155" s="11" t="s">
        <v>7378</v>
      </c>
      <c r="G2155" s="12"/>
      <c r="H2155" s="12"/>
      <c r="I2155" s="13">
        <v>0</v>
      </c>
      <c r="J2155" s="13">
        <v>0</v>
      </c>
      <c r="K2155" s="14" t="str">
        <f>HYPERLINK("http://www.facebook.com/twitter","Facebook")</f>
        <v>Facebook</v>
      </c>
      <c r="L2155" s="13">
        <v>114</v>
      </c>
      <c r="M2155" s="13">
        <v>89</v>
      </c>
      <c r="N2155" s="13">
        <v>4</v>
      </c>
      <c r="O2155" s="15"/>
      <c r="P2155" s="6">
        <v>40999.654027777782</v>
      </c>
      <c r="Q2155" s="12"/>
      <c r="R2155" s="18"/>
      <c r="S2155" s="12"/>
      <c r="T2155" s="12"/>
      <c r="U2155" s="10" t="str">
        <f>HYPERLINK("https://pbs.twimg.com/profile_images/2594078091/9ctMqN72","View")</f>
        <v>View</v>
      </c>
    </row>
    <row r="2156" spans="1:21" ht="40.799999999999997">
      <c r="A2156" s="6">
        <v>43422.315763888888</v>
      </c>
      <c r="B2156" s="7" t="str">
        <f>HYPERLINK("https://twitter.com/b_bonmati","@b_bonmati")</f>
        <v>@b_bonmati</v>
      </c>
      <c r="C2156" s="8" t="s">
        <v>7379</v>
      </c>
      <c r="D2156" s="9" t="s">
        <v>7380</v>
      </c>
      <c r="E2156" s="10" t="str">
        <f>HYPERLINK("https://twitter.com/b_bonmati/status/1064180103117238274","1064180103117238274")</f>
        <v>1064180103117238274</v>
      </c>
      <c r="F2156" s="12"/>
      <c r="G2156" s="12"/>
      <c r="H2156" s="12"/>
      <c r="I2156" s="13">
        <v>0</v>
      </c>
      <c r="J2156" s="13">
        <v>7</v>
      </c>
      <c r="K2156" s="14" t="str">
        <f>HYPERLINK("http://twitter.com/download/iphone","Twitter for iPhone")</f>
        <v>Twitter for iPhone</v>
      </c>
      <c r="L2156" s="13">
        <v>9139</v>
      </c>
      <c r="M2156" s="13">
        <v>9855</v>
      </c>
      <c r="N2156" s="13">
        <v>108</v>
      </c>
      <c r="O2156" s="15"/>
      <c r="P2156" s="6">
        <v>40624.155671296292</v>
      </c>
      <c r="Q2156" s="17" t="s">
        <v>7381</v>
      </c>
      <c r="R2156" s="16" t="s">
        <v>7382</v>
      </c>
      <c r="S2156" s="12"/>
      <c r="T2156" s="12"/>
      <c r="U2156" s="10" t="str">
        <f>HYPERLINK("https://pbs.twimg.com/profile_images/1050010884838449153/zESh7okR.jpg","View")</f>
        <v>View</v>
      </c>
    </row>
    <row r="2157" spans="1:21" ht="20.399999999999999">
      <c r="A2157" s="6">
        <v>43422.315069444448</v>
      </c>
      <c r="B2157" s="7" t="str">
        <f>HYPERLINK("https://twitter.com/L20mOtros","@L20mOtros")</f>
        <v>@L20mOtros</v>
      </c>
      <c r="C2157" s="8" t="s">
        <v>7383</v>
      </c>
      <c r="D2157" s="9" t="s">
        <v>5075</v>
      </c>
      <c r="E2157" s="10" t="str">
        <f>HYPERLINK("https://twitter.com/L20mOtros/status/1064179848510406657","1064179848510406657")</f>
        <v>1064179848510406657</v>
      </c>
      <c r="F2157" s="11" t="s">
        <v>7384</v>
      </c>
      <c r="G2157" s="11" t="s">
        <v>7385</v>
      </c>
      <c r="H2157" s="12"/>
      <c r="I2157" s="13">
        <v>0</v>
      </c>
      <c r="J2157" s="13">
        <v>0</v>
      </c>
      <c r="K2157" s="14" t="str">
        <f>HYPERLINK("http://dogtrack.es","DogTrack_Oficial")</f>
        <v>DogTrack_Oficial</v>
      </c>
      <c r="L2157" s="13">
        <v>22</v>
      </c>
      <c r="M2157" s="13">
        <v>8</v>
      </c>
      <c r="N2157" s="13">
        <v>0</v>
      </c>
      <c r="O2157" s="15"/>
      <c r="P2157" s="6">
        <v>41285.227418981478</v>
      </c>
      <c r="Q2157" s="12"/>
      <c r="R2157" s="18"/>
      <c r="S2157" s="11" t="s">
        <v>7386</v>
      </c>
      <c r="T2157" s="12"/>
      <c r="U2157" s="10" t="str">
        <f>HYPERLINK("https://pbs.twimg.com/profile_images/3148562799/6854a445e373c5053b43f5c11d764b41.jpeg","View")</f>
        <v>View</v>
      </c>
    </row>
    <row r="2158" spans="1:21" ht="40.799999999999997">
      <c r="A2158" s="6">
        <v>43422.314270833333</v>
      </c>
      <c r="B2158" s="7" t="str">
        <f>HYPERLINK("https://twitter.com/Luismita","@Luismita")</f>
        <v>@Luismita</v>
      </c>
      <c r="C2158" s="8" t="s">
        <v>7387</v>
      </c>
      <c r="D2158" s="9" t="s">
        <v>7388</v>
      </c>
      <c r="E2158" s="10" t="str">
        <f>HYPERLINK("https://twitter.com/Luismita/status/1064179559954829313","1064179559954829313")</f>
        <v>1064179559954829313</v>
      </c>
      <c r="F2158" s="17" t="s">
        <v>439</v>
      </c>
      <c r="G2158" s="11" t="s">
        <v>440</v>
      </c>
      <c r="H2158" s="12"/>
      <c r="I2158" s="13">
        <v>0</v>
      </c>
      <c r="J2158" s="13">
        <v>1</v>
      </c>
      <c r="K2158" s="14" t="str">
        <f t="shared" ref="K2158:K2159" si="403">HYPERLINK("http://twitter.com/download/android","Twitter for Android")</f>
        <v>Twitter for Android</v>
      </c>
      <c r="L2158" s="13">
        <v>2292</v>
      </c>
      <c r="M2158" s="13">
        <v>1293</v>
      </c>
      <c r="N2158" s="13">
        <v>58</v>
      </c>
      <c r="O2158" s="15"/>
      <c r="P2158" s="6">
        <v>40116.498703703706</v>
      </c>
      <c r="Q2158" s="17" t="s">
        <v>7389</v>
      </c>
      <c r="R2158" s="16" t="s">
        <v>7390</v>
      </c>
      <c r="S2158" s="12"/>
      <c r="T2158" s="12"/>
      <c r="U2158" s="10" t="str">
        <f>HYPERLINK("https://pbs.twimg.com/profile_images/782711391581077509/q4UTOnHa.jpg","View")</f>
        <v>View</v>
      </c>
    </row>
    <row r="2159" spans="1:21" ht="30.6">
      <c r="A2159" s="6">
        <v>43422.313923611116</v>
      </c>
      <c r="B2159" s="7" t="str">
        <f>HYPERLINK("https://twitter.com/joanmimass","@joanmimass")</f>
        <v>@joanmimass</v>
      </c>
      <c r="C2159" s="8" t="s">
        <v>7391</v>
      </c>
      <c r="D2159" s="9" t="s">
        <v>7392</v>
      </c>
      <c r="E2159" s="10" t="str">
        <f>HYPERLINK("https://twitter.com/joanmimass/status/1064179433836285952","1064179433836285952")</f>
        <v>1064179433836285952</v>
      </c>
      <c r="F2159" s="12"/>
      <c r="G2159" s="12"/>
      <c r="H2159" s="12"/>
      <c r="I2159" s="13">
        <v>0</v>
      </c>
      <c r="J2159" s="13">
        <v>1</v>
      </c>
      <c r="K2159" s="14" t="str">
        <f t="shared" si="403"/>
        <v>Twitter for Android</v>
      </c>
      <c r="L2159" s="13">
        <v>71</v>
      </c>
      <c r="M2159" s="13">
        <v>268</v>
      </c>
      <c r="N2159" s="13">
        <v>0</v>
      </c>
      <c r="O2159" s="15"/>
      <c r="P2159" s="6">
        <v>42952.647210648152</v>
      </c>
      <c r="Q2159" s="17" t="s">
        <v>1440</v>
      </c>
      <c r="R2159" s="16" t="s">
        <v>7393</v>
      </c>
      <c r="S2159" s="12"/>
      <c r="T2159" s="12"/>
      <c r="U2159" s="10" t="str">
        <f>HYPERLINK("https://pbs.twimg.com/profile_images/1034797014297571328/CTiZQDCg.jpg","View")</f>
        <v>View</v>
      </c>
    </row>
    <row r="2160" spans="1:21" ht="40.799999999999997">
      <c r="A2160" s="6">
        <v>43422.313472222224</v>
      </c>
      <c r="B2160" s="7" t="str">
        <f>HYPERLINK("https://twitter.com/brno1safag","@brno1safag")</f>
        <v>@brno1safag</v>
      </c>
      <c r="C2160" s="8" t="s">
        <v>7394</v>
      </c>
      <c r="D2160" s="9" t="s">
        <v>7395</v>
      </c>
      <c r="E2160" s="10" t="str">
        <f>HYPERLINK("https://twitter.com/brno1safag/status/1064179272645058560","1064179272645058560")</f>
        <v>1064179272645058560</v>
      </c>
      <c r="F2160" s="12"/>
      <c r="G2160" s="12"/>
      <c r="H2160" s="12"/>
      <c r="I2160" s="13">
        <v>0</v>
      </c>
      <c r="J2160" s="13">
        <v>3</v>
      </c>
      <c r="K2160" s="14" t="str">
        <f>HYPERLINK("http://twitter.com/download/iphone","Twitter for iPhone")</f>
        <v>Twitter for iPhone</v>
      </c>
      <c r="L2160" s="13">
        <v>367</v>
      </c>
      <c r="M2160" s="13">
        <v>306</v>
      </c>
      <c r="N2160" s="13">
        <v>10</v>
      </c>
      <c r="O2160" s="15"/>
      <c r="P2160" s="6">
        <v>40815.561157407406</v>
      </c>
      <c r="Q2160" s="12"/>
      <c r="R2160" s="18"/>
      <c r="S2160" s="12"/>
      <c r="T2160" s="12"/>
      <c r="U2160" s="10" t="str">
        <f>HYPERLINK("https://pbs.twimg.com/profile_images/1054138635874979845/PNHuHbXT.jpg","View")</f>
        <v>View</v>
      </c>
    </row>
    <row r="2161" spans="1:21" ht="40.799999999999997">
      <c r="A2161" s="6">
        <v>43422.3125</v>
      </c>
      <c r="B2161" s="7" t="str">
        <f>HYPERLINK("https://twitter.com/20m","@20m")</f>
        <v>@20m</v>
      </c>
      <c r="C2161" s="20" t="s">
        <v>7396</v>
      </c>
      <c r="D2161" s="9" t="s">
        <v>5075</v>
      </c>
      <c r="E2161" s="10" t="str">
        <f>HYPERLINK("https://twitter.com/20m/status/1064178920667402240","1064178920667402240")</f>
        <v>1064178920667402240</v>
      </c>
      <c r="F2161" s="11" t="s">
        <v>7397</v>
      </c>
      <c r="G2161" s="12"/>
      <c r="H2161" s="12"/>
      <c r="I2161" s="13">
        <v>3</v>
      </c>
      <c r="J2161" s="13">
        <v>7</v>
      </c>
      <c r="K2161" s="14" t="str">
        <f>HYPERLINK("http://dogtrack.es","DogTrack_Oficial")</f>
        <v>DogTrack_Oficial</v>
      </c>
      <c r="L2161" s="13">
        <v>1353059</v>
      </c>
      <c r="M2161" s="13">
        <v>51110</v>
      </c>
      <c r="N2161" s="13">
        <v>14077</v>
      </c>
      <c r="O2161" s="19" t="s">
        <v>74</v>
      </c>
      <c r="P2161" s="6">
        <v>39917.110891203702</v>
      </c>
      <c r="Q2161" s="17" t="s">
        <v>374</v>
      </c>
      <c r="R2161" s="16" t="s">
        <v>7398</v>
      </c>
      <c r="S2161" s="11" t="s">
        <v>7399</v>
      </c>
      <c r="T2161" s="12"/>
      <c r="U2161" s="10" t="str">
        <f>HYPERLINK("https://pbs.twimg.com/profile_images/1013670314285420544/gwCE6EJr.jpg","View")</f>
        <v>View</v>
      </c>
    </row>
    <row r="2162" spans="1:21" ht="40.799999999999997">
      <c r="A2162" s="6">
        <v>43422.311006944445</v>
      </c>
      <c r="B2162" s="7" t="str">
        <f>HYPERLINK("https://twitter.com/VictorNebreda","@VictorNebreda")</f>
        <v>@VictorNebreda</v>
      </c>
      <c r="C2162" s="8" t="s">
        <v>7400</v>
      </c>
      <c r="D2162" s="9" t="s">
        <v>7401</v>
      </c>
      <c r="E2162" s="10" t="str">
        <f>HYPERLINK("https://twitter.com/VictorNebreda/status/1064178376255127552","1064178376255127552")</f>
        <v>1064178376255127552</v>
      </c>
      <c r="F2162" s="11" t="s">
        <v>4961</v>
      </c>
      <c r="G2162" s="12"/>
      <c r="H2162" s="12"/>
      <c r="I2162" s="13">
        <v>1</v>
      </c>
      <c r="J2162" s="13">
        <v>1</v>
      </c>
      <c r="K2162" s="14" t="str">
        <f>HYPERLINK("http://twitter.com","Twitter Web Client")</f>
        <v>Twitter Web Client</v>
      </c>
      <c r="L2162" s="13">
        <v>1219</v>
      </c>
      <c r="M2162" s="13">
        <v>2477</v>
      </c>
      <c r="N2162" s="13">
        <v>17</v>
      </c>
      <c r="O2162" s="15"/>
      <c r="P2162" s="6">
        <v>41519.102395833332</v>
      </c>
      <c r="Q2162" s="17" t="s">
        <v>7402</v>
      </c>
      <c r="R2162" s="16" t="s">
        <v>7403</v>
      </c>
      <c r="S2162" s="12"/>
      <c r="T2162" s="12"/>
      <c r="U2162" s="10" t="str">
        <f>HYPERLINK("https://pbs.twimg.com/profile_images/547760938695151618/9mHep2Lw.jpeg","View")</f>
        <v>View</v>
      </c>
    </row>
    <row r="2163" spans="1:21" ht="20.399999999999999">
      <c r="A2163" s="6">
        <v>43422.310706018514</v>
      </c>
      <c r="B2163" s="7" t="str">
        <f>HYPERLINK("https://twitter.com/joanmiquelm4","@joanmiquelm4")</f>
        <v>@joanmiquelm4</v>
      </c>
      <c r="C2163" s="8" t="s">
        <v>1187</v>
      </c>
      <c r="D2163" s="9" t="s">
        <v>7404</v>
      </c>
      <c r="E2163" s="10" t="str">
        <f>HYPERLINK("https://twitter.com/joanmiquelm4/status/1064178269447176192","1064178269447176192")</f>
        <v>1064178269447176192</v>
      </c>
      <c r="F2163" s="11" t="s">
        <v>4961</v>
      </c>
      <c r="G2163" s="12"/>
      <c r="H2163" s="12"/>
      <c r="I2163" s="13">
        <v>0</v>
      </c>
      <c r="J2163" s="13">
        <v>0</v>
      </c>
      <c r="K2163" s="14" t="str">
        <f>HYPERLINK("http://twitter.com/download/android","Twitter for Android")</f>
        <v>Twitter for Android</v>
      </c>
      <c r="L2163" s="13">
        <v>186</v>
      </c>
      <c r="M2163" s="13">
        <v>250</v>
      </c>
      <c r="N2163" s="13">
        <v>22</v>
      </c>
      <c r="O2163" s="15"/>
      <c r="P2163" s="6">
        <v>41963.335092592592</v>
      </c>
      <c r="Q2163" s="12"/>
      <c r="R2163" s="16" t="s">
        <v>1189</v>
      </c>
      <c r="S2163" s="12"/>
      <c r="T2163" s="12"/>
      <c r="U2163" s="10" t="str">
        <f>HYPERLINK("https://pbs.twimg.com/profile_images/535464079948017666/sd81e-bA.jpeg","View")</f>
        <v>View</v>
      </c>
    </row>
    <row r="2164" spans="1:21" ht="40.799999999999997">
      <c r="A2164" s="6">
        <v>43422.309930555552</v>
      </c>
      <c r="B2164" s="7" t="str">
        <f>HYPERLINK("https://twitter.com/Capitan2piR","@Capitan2piR")</f>
        <v>@Capitan2piR</v>
      </c>
      <c r="C2164" s="8" t="s">
        <v>552</v>
      </c>
      <c r="D2164" s="9" t="s">
        <v>7405</v>
      </c>
      <c r="E2164" s="10" t="str">
        <f>HYPERLINK("https://twitter.com/Capitan2piR/status/1064177990144266241","1064177990144266241")</f>
        <v>1064177990144266241</v>
      </c>
      <c r="F2164" s="11" t="s">
        <v>5997</v>
      </c>
      <c r="G2164" s="12"/>
      <c r="H2164" s="12"/>
      <c r="I2164" s="13">
        <v>0</v>
      </c>
      <c r="J2164" s="13">
        <v>0</v>
      </c>
      <c r="K2164" s="14" t="str">
        <f>HYPERLINK("http://www.facebook.com/twitter","Facebook")</f>
        <v>Facebook</v>
      </c>
      <c r="L2164" s="13">
        <v>285</v>
      </c>
      <c r="M2164" s="13">
        <v>568</v>
      </c>
      <c r="N2164" s="13">
        <v>2</v>
      </c>
      <c r="O2164" s="15"/>
      <c r="P2164" s="6">
        <v>41650.579594907409</v>
      </c>
      <c r="Q2164" s="17" t="s">
        <v>556</v>
      </c>
      <c r="R2164" s="16" t="s">
        <v>557</v>
      </c>
      <c r="S2164" s="12"/>
      <c r="T2164" s="12"/>
      <c r="U2164" s="10" t="str">
        <f>HYPERLINK("https://pbs.twimg.com/profile_images/939076760825729024/GWLrSvj5.jpg","View")</f>
        <v>View</v>
      </c>
    </row>
    <row r="2165" spans="1:21" ht="51">
      <c r="A2165" s="6">
        <v>43422.309895833328</v>
      </c>
      <c r="B2165" s="7" t="str">
        <f>HYPERLINK("https://twitter.com/JCarbonellgom","@JCarbonellgom")</f>
        <v>@JCarbonellgom</v>
      </c>
      <c r="C2165" s="8" t="s">
        <v>7406</v>
      </c>
      <c r="D2165" s="9" t="s">
        <v>7407</v>
      </c>
      <c r="E2165" s="10" t="str">
        <f>HYPERLINK("https://twitter.com/JCarbonellgom/status/1064177977267810305","1064177977267810305")</f>
        <v>1064177977267810305</v>
      </c>
      <c r="F2165" s="11" t="s">
        <v>7408</v>
      </c>
      <c r="G2165" s="12"/>
      <c r="H2165" s="12"/>
      <c r="I2165" s="13">
        <v>0</v>
      </c>
      <c r="J2165" s="13">
        <v>0</v>
      </c>
      <c r="K2165" s="14" t="str">
        <f>HYPERLINK("http://twitter.com/#!/download/ipad","Twitter for iPad")</f>
        <v>Twitter for iPad</v>
      </c>
      <c r="L2165" s="13">
        <v>22</v>
      </c>
      <c r="M2165" s="13">
        <v>45</v>
      </c>
      <c r="N2165" s="13">
        <v>0</v>
      </c>
      <c r="O2165" s="15"/>
      <c r="P2165" s="6">
        <v>43010.122488425928</v>
      </c>
      <c r="Q2165" s="17" t="s">
        <v>187</v>
      </c>
      <c r="R2165" s="16" t="s">
        <v>7409</v>
      </c>
      <c r="S2165" s="12"/>
      <c r="T2165" s="12"/>
      <c r="U2165" s="10" t="str">
        <f>HYPERLINK("https://pbs.twimg.com/profile_images/926799291120697344/S210cqui.jpg","View")</f>
        <v>View</v>
      </c>
    </row>
    <row r="2166" spans="1:21" ht="30.6">
      <c r="A2166" s="6">
        <v>43422.308819444443</v>
      </c>
      <c r="B2166" s="7" t="str">
        <f>HYPERLINK("https://twitter.com/EPAndalucia","@EPAndalucia")</f>
        <v>@EPAndalucia</v>
      </c>
      <c r="C2166" s="8" t="s">
        <v>3640</v>
      </c>
      <c r="D2166" s="9" t="s">
        <v>7410</v>
      </c>
      <c r="E2166" s="10" t="str">
        <f>HYPERLINK("https://twitter.com/EPAndalucia/status/1064177586417410048","1064177586417410048")</f>
        <v>1064177586417410048</v>
      </c>
      <c r="F2166" s="11" t="s">
        <v>7411</v>
      </c>
      <c r="G2166" s="12"/>
      <c r="H2166" s="12"/>
      <c r="I2166" s="13">
        <v>0</v>
      </c>
      <c r="J2166" s="13">
        <v>0</v>
      </c>
      <c r="K2166" s="14" t="str">
        <f>HYPERLINK("http://www.europapress.es/andalucia","Twitter editor Andalucia")</f>
        <v>Twitter editor Andalucia</v>
      </c>
      <c r="L2166" s="13">
        <v>37380</v>
      </c>
      <c r="M2166" s="13">
        <v>1177</v>
      </c>
      <c r="N2166" s="13">
        <v>855</v>
      </c>
      <c r="O2166" s="15"/>
      <c r="P2166" s="6">
        <v>40540.369988425926</v>
      </c>
      <c r="Q2166" s="17" t="s">
        <v>264</v>
      </c>
      <c r="R2166" s="16" t="s">
        <v>3643</v>
      </c>
      <c r="S2166" s="11" t="s">
        <v>3644</v>
      </c>
      <c r="T2166" s="12"/>
      <c r="U2166" s="10" t="str">
        <f>HYPERLINK("https://pbs.twimg.com/profile_images/876784913466503168/u7k3N7mS.jpg","View")</f>
        <v>View</v>
      </c>
    </row>
    <row r="2167" spans="1:21" ht="40.799999999999997">
      <c r="A2167" s="6">
        <v>43422.307870370365</v>
      </c>
      <c r="B2167" s="7" t="str">
        <f>HYPERLINK("https://twitter.com/Sanfermin00","@Sanfermin00")</f>
        <v>@Sanfermin00</v>
      </c>
      <c r="C2167" s="8" t="s">
        <v>3375</v>
      </c>
      <c r="D2167" s="9" t="s">
        <v>7412</v>
      </c>
      <c r="E2167" s="10" t="str">
        <f>HYPERLINK("https://twitter.com/Sanfermin00/status/1064177239888199686","1064177239888199686")</f>
        <v>1064177239888199686</v>
      </c>
      <c r="F2167" s="11" t="s">
        <v>7413</v>
      </c>
      <c r="G2167" s="12"/>
      <c r="H2167" s="12"/>
      <c r="I2167" s="13">
        <v>0</v>
      </c>
      <c r="J2167" s="13">
        <v>0</v>
      </c>
      <c r="K2167" s="14" t="str">
        <f>HYPERLINK("http://twitter.com","Twitter Web Client")</f>
        <v>Twitter Web Client</v>
      </c>
      <c r="L2167" s="13">
        <v>16392</v>
      </c>
      <c r="M2167" s="13">
        <v>13582</v>
      </c>
      <c r="N2167" s="13">
        <v>123</v>
      </c>
      <c r="O2167" s="15"/>
      <c r="P2167" s="6">
        <v>42362.262083333335</v>
      </c>
      <c r="Q2167" s="17" t="s">
        <v>3378</v>
      </c>
      <c r="R2167" s="16" t="s">
        <v>3379</v>
      </c>
      <c r="S2167" s="11" t="s">
        <v>3380</v>
      </c>
      <c r="T2167" s="12"/>
      <c r="U2167" s="10" t="str">
        <f>HYPERLINK("https://pbs.twimg.com/profile_images/1064102923624480768/j11dV2-u.jpg","View")</f>
        <v>View</v>
      </c>
    </row>
    <row r="2168" spans="1:21" ht="20.399999999999999">
      <c r="A2168" s="6">
        <v>43422.307638888888</v>
      </c>
      <c r="B2168" s="7" t="str">
        <f>HYPERLINK("https://twitter.com/A3Noticias","@A3Noticias")</f>
        <v>@A3Noticias</v>
      </c>
      <c r="C2168" s="8" t="s">
        <v>4688</v>
      </c>
      <c r="D2168" s="9" t="s">
        <v>7414</v>
      </c>
      <c r="E2168" s="10" t="str">
        <f>HYPERLINK("https://twitter.com/A3Noticias/status/1064177155964309504","1064177155964309504")</f>
        <v>1064177155964309504</v>
      </c>
      <c r="F2168" s="11" t="s">
        <v>7415</v>
      </c>
      <c r="G2168" s="12"/>
      <c r="H2168" s="12"/>
      <c r="I2168" s="13">
        <v>3</v>
      </c>
      <c r="J2168" s="13">
        <v>4</v>
      </c>
      <c r="K2168" s="14" t="str">
        <f>HYPERLINK("http://dogtrack.es","DogTrack_Oficial")</f>
        <v>DogTrack_Oficial</v>
      </c>
      <c r="L2168" s="13">
        <v>1720486</v>
      </c>
      <c r="M2168" s="13">
        <v>406</v>
      </c>
      <c r="N2168" s="13">
        <v>8130</v>
      </c>
      <c r="O2168" s="19" t="s">
        <v>74</v>
      </c>
      <c r="P2168" s="6">
        <v>40318.148495370369</v>
      </c>
      <c r="Q2168" s="12"/>
      <c r="R2168" s="16" t="s">
        <v>4691</v>
      </c>
      <c r="S2168" s="11" t="s">
        <v>4692</v>
      </c>
      <c r="T2168" s="12"/>
      <c r="U2168" s="10" t="str">
        <f>HYPERLINK("https://pbs.twimg.com/profile_images/1047424467411107840/znEO0bjJ.jpg","View")</f>
        <v>View</v>
      </c>
    </row>
    <row r="2169" spans="1:21" ht="102">
      <c r="A2169" s="6">
        <v>43422.307488425926</v>
      </c>
      <c r="B2169" s="7" t="str">
        <f>HYPERLINK("https://twitter.com/PerezmolinaJ","@PerezmolinaJ")</f>
        <v>@PerezmolinaJ</v>
      </c>
      <c r="C2169" s="8" t="s">
        <v>7420</v>
      </c>
      <c r="D2169" s="9" t="s">
        <v>7421</v>
      </c>
      <c r="E2169" s="10" t="str">
        <f>HYPERLINK("https://twitter.com/PerezmolinaJ/status/1064177104353443841","1064177104353443841")</f>
        <v>1064177104353443841</v>
      </c>
      <c r="F2169" s="11" t="s">
        <v>7422</v>
      </c>
      <c r="G2169" s="11" t="s">
        <v>7423</v>
      </c>
      <c r="H2169" s="12"/>
      <c r="I2169" s="13">
        <v>0</v>
      </c>
      <c r="J2169" s="13">
        <v>0</v>
      </c>
      <c r="K2169" s="14" t="str">
        <f t="shared" ref="K2169:K2172" si="404">HYPERLINK("http://twitter.com/download/android","Twitter for Android")</f>
        <v>Twitter for Android</v>
      </c>
      <c r="L2169" s="13">
        <v>1273</v>
      </c>
      <c r="M2169" s="13">
        <v>1351</v>
      </c>
      <c r="N2169" s="13">
        <v>14</v>
      </c>
      <c r="O2169" s="15"/>
      <c r="P2169" s="6">
        <v>41134.625428240739</v>
      </c>
      <c r="Q2169" s="17" t="s">
        <v>179</v>
      </c>
      <c r="R2169" s="16" t="s">
        <v>7424</v>
      </c>
      <c r="S2169" s="12"/>
      <c r="T2169" s="12"/>
      <c r="U2169" s="10" t="str">
        <f>HYPERLINK("https://pbs.twimg.com/profile_images/1011358764828692481/qk1X9MsV.jpg","View")</f>
        <v>View</v>
      </c>
    </row>
    <row r="2170" spans="1:21" ht="40.799999999999997">
      <c r="A2170" s="6">
        <v>43422.306423611109</v>
      </c>
      <c r="B2170" s="7" t="str">
        <f>HYPERLINK("https://twitter.com/RafaelMCriado","@RafaelMCriado")</f>
        <v>@RafaelMCriado</v>
      </c>
      <c r="C2170" s="8" t="s">
        <v>7425</v>
      </c>
      <c r="D2170" s="9" t="s">
        <v>7426</v>
      </c>
      <c r="E2170" s="10" t="str">
        <f>HYPERLINK("https://twitter.com/RafaelMCriado/status/1064176716711645184","1064176716711645184")</f>
        <v>1064176716711645184</v>
      </c>
      <c r="F2170" s="11" t="s">
        <v>5009</v>
      </c>
      <c r="G2170" s="12"/>
      <c r="H2170" s="12"/>
      <c r="I2170" s="13">
        <v>0</v>
      </c>
      <c r="J2170" s="13">
        <v>0</v>
      </c>
      <c r="K2170" s="14" t="str">
        <f t="shared" si="404"/>
        <v>Twitter for Android</v>
      </c>
      <c r="L2170" s="13">
        <v>5195</v>
      </c>
      <c r="M2170" s="13">
        <v>5501</v>
      </c>
      <c r="N2170" s="13">
        <v>76</v>
      </c>
      <c r="O2170" s="15"/>
      <c r="P2170" s="6">
        <v>41077.051446759258</v>
      </c>
      <c r="Q2170" s="17" t="s">
        <v>7427</v>
      </c>
      <c r="R2170" s="16" t="s">
        <v>7428</v>
      </c>
      <c r="S2170" s="12"/>
      <c r="T2170" s="12"/>
      <c r="U2170" s="10" t="str">
        <f>HYPERLINK("https://pbs.twimg.com/profile_images/1046696628000821248/YPnZ3PJH.jpg","View")</f>
        <v>View</v>
      </c>
    </row>
    <row r="2171" spans="1:21" ht="30.6">
      <c r="A2171" s="6">
        <v>43422.303784722222</v>
      </c>
      <c r="B2171" s="7" t="str">
        <f>HYPERLINK("https://twitter.com/MyLittleSnail","@MyLittleSnail")</f>
        <v>@MyLittleSnail</v>
      </c>
      <c r="C2171" s="8" t="s">
        <v>7429</v>
      </c>
      <c r="D2171" s="9" t="s">
        <v>7430</v>
      </c>
      <c r="E2171" s="10" t="str">
        <f>HYPERLINK("https://twitter.com/MyLittleSnail/status/1064175761014308865","1064175761014308865")</f>
        <v>1064175761014308865</v>
      </c>
      <c r="F2171" s="12"/>
      <c r="G2171" s="12"/>
      <c r="H2171" s="12"/>
      <c r="I2171" s="13">
        <v>1</v>
      </c>
      <c r="J2171" s="13">
        <v>1</v>
      </c>
      <c r="K2171" s="14" t="str">
        <f t="shared" si="404"/>
        <v>Twitter for Android</v>
      </c>
      <c r="L2171" s="13">
        <v>693</v>
      </c>
      <c r="M2171" s="13">
        <v>782</v>
      </c>
      <c r="N2171" s="13">
        <v>14</v>
      </c>
      <c r="O2171" s="15"/>
      <c r="P2171" s="6">
        <v>40428.604988425926</v>
      </c>
      <c r="Q2171" s="17" t="s">
        <v>7431</v>
      </c>
      <c r="R2171" s="16" t="s">
        <v>7432</v>
      </c>
      <c r="S2171" s="11" t="s">
        <v>7433</v>
      </c>
      <c r="T2171" s="12"/>
      <c r="U2171" s="10" t="str">
        <f>HYPERLINK("https://pbs.twimg.com/profile_images/648622178175467520/wEA2Pq5J.png","View")</f>
        <v>View</v>
      </c>
    </row>
    <row r="2172" spans="1:21" ht="51">
      <c r="A2172" s="6">
        <v>43422.303437499999</v>
      </c>
      <c r="B2172" s="7" t="str">
        <f>HYPERLINK("https://twitter.com/Marcos_Jez","@Marcos_Jez")</f>
        <v>@Marcos_Jez</v>
      </c>
      <c r="C2172" s="8" t="s">
        <v>7434</v>
      </c>
      <c r="D2172" s="9" t="s">
        <v>7435</v>
      </c>
      <c r="E2172" s="10" t="str">
        <f>HYPERLINK("https://twitter.com/Marcos_Jez/status/1064175636720295937","1064175636720295937")</f>
        <v>1064175636720295937</v>
      </c>
      <c r="F2172" s="12"/>
      <c r="G2172" s="12"/>
      <c r="H2172" s="12"/>
      <c r="I2172" s="13">
        <v>0</v>
      </c>
      <c r="J2172" s="13">
        <v>0</v>
      </c>
      <c r="K2172" s="14" t="str">
        <f t="shared" si="404"/>
        <v>Twitter for Android</v>
      </c>
      <c r="L2172" s="13">
        <v>478</v>
      </c>
      <c r="M2172" s="13">
        <v>1286</v>
      </c>
      <c r="N2172" s="13">
        <v>7</v>
      </c>
      <c r="O2172" s="15"/>
      <c r="P2172" s="6">
        <v>41130.65289351852</v>
      </c>
      <c r="Q2172" s="12"/>
      <c r="R2172" s="18"/>
      <c r="S2172" s="12"/>
      <c r="T2172" s="12"/>
      <c r="U2172" s="10" t="str">
        <f>HYPERLINK("https://pbs.twimg.com/profile_images/1055561901801947137/D-oMCcFE.jpg","View")</f>
        <v>View</v>
      </c>
    </row>
    <row r="2173" spans="1:21" ht="40.799999999999997">
      <c r="A2173" s="6">
        <v>43422.302314814813</v>
      </c>
      <c r="B2173" s="7" t="str">
        <f>HYPERLINK("https://twitter.com/jsalvadorduch","@jsalvadorduch")</f>
        <v>@jsalvadorduch</v>
      </c>
      <c r="C2173" s="8" t="s">
        <v>7436</v>
      </c>
      <c r="D2173" s="9" t="s">
        <v>7437</v>
      </c>
      <c r="E2173" s="10" t="str">
        <f>HYPERLINK("https://twitter.com/jsalvadorduch/status/1064175228123787266","1064175228123787266")</f>
        <v>1064175228123787266</v>
      </c>
      <c r="F2173" s="11" t="s">
        <v>4961</v>
      </c>
      <c r="G2173" s="12"/>
      <c r="H2173" s="12"/>
      <c r="I2173" s="13">
        <v>1</v>
      </c>
      <c r="J2173" s="13">
        <v>0</v>
      </c>
      <c r="K2173" s="14" t="str">
        <f>HYPERLINK("http://twitter.com/download/iphone","Twitter for iPhone")</f>
        <v>Twitter for iPhone</v>
      </c>
      <c r="L2173" s="13">
        <v>6117</v>
      </c>
      <c r="M2173" s="13">
        <v>1760</v>
      </c>
      <c r="N2173" s="13">
        <v>102</v>
      </c>
      <c r="O2173" s="15"/>
      <c r="P2173" s="6">
        <v>40723.189780092594</v>
      </c>
      <c r="Q2173" s="17" t="s">
        <v>3877</v>
      </c>
      <c r="R2173" s="16" t="s">
        <v>7438</v>
      </c>
      <c r="S2173" s="11" t="s">
        <v>7439</v>
      </c>
      <c r="T2173" s="12"/>
      <c r="U2173" s="10" t="str">
        <f>HYPERLINK("https://pbs.twimg.com/profile_images/990224921635840001/IkWLTpkw.jpg","View")</f>
        <v>View</v>
      </c>
    </row>
    <row r="2174" spans="1:21" ht="40.799999999999997">
      <c r="A2174" s="6">
        <v>43422.302268518513</v>
      </c>
      <c r="B2174" s="7" t="str">
        <f>HYPERLINK("https://twitter.com/juanjoband24","@juanjoband24")</f>
        <v>@juanjoband24</v>
      </c>
      <c r="C2174" s="8" t="s">
        <v>3544</v>
      </c>
      <c r="D2174" s="9" t="s">
        <v>7440</v>
      </c>
      <c r="E2174" s="10" t="str">
        <f>HYPERLINK("https://twitter.com/juanjoband24/status/1064175211074002944","1064175211074002944")</f>
        <v>1064175211074002944</v>
      </c>
      <c r="F2174" s="17" t="s">
        <v>7441</v>
      </c>
      <c r="G2174" s="12"/>
      <c r="H2174" s="12"/>
      <c r="I2174" s="13">
        <v>1</v>
      </c>
      <c r="J2174" s="13">
        <v>0</v>
      </c>
      <c r="K2174" s="14" t="str">
        <f t="shared" ref="K2174:K2175" si="405">HYPERLINK("http://twitter.com/download/android","Twitter for Android")</f>
        <v>Twitter for Android</v>
      </c>
      <c r="L2174" s="13">
        <v>2098</v>
      </c>
      <c r="M2174" s="13">
        <v>995</v>
      </c>
      <c r="N2174" s="13">
        <v>13</v>
      </c>
      <c r="O2174" s="15"/>
      <c r="P2174" s="6">
        <v>40844.321689814817</v>
      </c>
      <c r="Q2174" s="17" t="s">
        <v>3547</v>
      </c>
      <c r="R2174" s="28" t="s">
        <v>3548</v>
      </c>
      <c r="S2174" s="12"/>
      <c r="T2174" s="12"/>
      <c r="U2174" s="10" t="str">
        <f>HYPERLINK("https://pbs.twimg.com/profile_images/1031236136675491840/ZxteYaNT.jpg","View")</f>
        <v>View</v>
      </c>
    </row>
    <row r="2175" spans="1:21" ht="51">
      <c r="A2175" s="6">
        <v>43422.301666666666</v>
      </c>
      <c r="B2175" s="7" t="str">
        <f>HYPERLINK("https://twitter.com/Llomismo","@Llomismo")</f>
        <v>@Llomismo</v>
      </c>
      <c r="C2175" s="8" t="s">
        <v>6820</v>
      </c>
      <c r="D2175" s="9" t="s">
        <v>7442</v>
      </c>
      <c r="E2175" s="10" t="str">
        <f>HYPERLINK("https://twitter.com/Llomismo/status/1064174994660491264","1064174994660491264")</f>
        <v>1064174994660491264</v>
      </c>
      <c r="F2175" s="17" t="s">
        <v>439</v>
      </c>
      <c r="G2175" s="11" t="s">
        <v>440</v>
      </c>
      <c r="H2175" s="12"/>
      <c r="I2175" s="13">
        <v>0</v>
      </c>
      <c r="J2175" s="13">
        <v>1</v>
      </c>
      <c r="K2175" s="14" t="str">
        <f t="shared" si="405"/>
        <v>Twitter for Android</v>
      </c>
      <c r="L2175" s="13">
        <v>97</v>
      </c>
      <c r="M2175" s="13">
        <v>257</v>
      </c>
      <c r="N2175" s="13">
        <v>9</v>
      </c>
      <c r="O2175" s="15"/>
      <c r="P2175" s="6">
        <v>40100.289942129632</v>
      </c>
      <c r="Q2175" s="17" t="s">
        <v>6823</v>
      </c>
      <c r="R2175" s="16" t="s">
        <v>6824</v>
      </c>
      <c r="S2175" s="11" t="s">
        <v>6825</v>
      </c>
      <c r="T2175" s="12"/>
      <c r="U2175" s="10" t="str">
        <f>HYPERLINK("https://pbs.twimg.com/profile_images/1009033624790986752/WR8Q1aG0.jpg","View")</f>
        <v>View</v>
      </c>
    </row>
    <row r="2176" spans="1:21" ht="30.6">
      <c r="A2176" s="6">
        <v>43422.301099537042</v>
      </c>
      <c r="B2176" s="7" t="str">
        <f>HYPERLINK("https://twitter.com/BobEstropajo","@BobEstropajo")</f>
        <v>@BobEstropajo</v>
      </c>
      <c r="C2176" s="8" t="s">
        <v>297</v>
      </c>
      <c r="D2176" s="9" t="s">
        <v>7443</v>
      </c>
      <c r="E2176" s="10" t="str">
        <f>HYPERLINK("https://twitter.com/BobEstropajo/status/1064174789928148995","1064174789928148995")</f>
        <v>1064174789928148995</v>
      </c>
      <c r="F2176" s="12"/>
      <c r="G2176" s="12"/>
      <c r="H2176" s="12"/>
      <c r="I2176" s="13">
        <v>5</v>
      </c>
      <c r="J2176" s="13">
        <v>18</v>
      </c>
      <c r="K2176" s="14" t="str">
        <f>HYPERLINK("http://twitter.com","Twitter Web Client")</f>
        <v>Twitter Web Client</v>
      </c>
      <c r="L2176" s="13">
        <v>86431</v>
      </c>
      <c r="M2176" s="13">
        <v>4128</v>
      </c>
      <c r="N2176" s="13">
        <v>770</v>
      </c>
      <c r="O2176" s="15"/>
      <c r="P2176" s="6">
        <v>41891.663900462961</v>
      </c>
      <c r="Q2176" s="17" t="s">
        <v>299</v>
      </c>
      <c r="R2176" s="16" t="s">
        <v>300</v>
      </c>
      <c r="S2176" s="11" t="s">
        <v>301</v>
      </c>
      <c r="T2176" s="12"/>
      <c r="U2176" s="10" t="str">
        <f>HYPERLINK("https://pbs.twimg.com/profile_images/1059213646692315136/5KWHyXrN.jpg","View")</f>
        <v>View</v>
      </c>
    </row>
    <row r="2177" spans="1:21" ht="61.2">
      <c r="A2177" s="6">
        <v>43422.300324074073</v>
      </c>
      <c r="B2177" s="7" t="str">
        <f>HYPERLINK("https://twitter.com/Rous77377853","@Rous77377853")</f>
        <v>@Rous77377853</v>
      </c>
      <c r="C2177" s="8" t="s">
        <v>4368</v>
      </c>
      <c r="D2177" s="9" t="s">
        <v>7444</v>
      </c>
      <c r="E2177" s="10" t="str">
        <f>HYPERLINK("https://twitter.com/Rous77377853/status/1064174508028952577","1064174508028952577")</f>
        <v>1064174508028952577</v>
      </c>
      <c r="F2177" s="12"/>
      <c r="G2177" s="12"/>
      <c r="H2177" s="12"/>
      <c r="I2177" s="13">
        <v>9</v>
      </c>
      <c r="J2177" s="13">
        <v>16</v>
      </c>
      <c r="K2177" s="14" t="str">
        <f t="shared" ref="K2177:K2180" si="406">HYPERLINK("http://twitter.com/download/android","Twitter for Android")</f>
        <v>Twitter for Android</v>
      </c>
      <c r="L2177" s="13">
        <v>1630</v>
      </c>
      <c r="M2177" s="13">
        <v>1606</v>
      </c>
      <c r="N2177" s="13">
        <v>6</v>
      </c>
      <c r="O2177" s="15"/>
      <c r="P2177" s="6">
        <v>42761.31040509259</v>
      </c>
      <c r="Q2177" s="12"/>
      <c r="R2177" s="16" t="s">
        <v>4370</v>
      </c>
      <c r="S2177" s="12"/>
      <c r="T2177" s="12"/>
      <c r="U2177" s="10" t="str">
        <f>HYPERLINK("https://pbs.twimg.com/profile_images/1033648984324227072/FGDdCYTJ.jpg","View")</f>
        <v>View</v>
      </c>
    </row>
    <row r="2178" spans="1:21" ht="13.2">
      <c r="A2178" s="6">
        <v>43422.299189814818</v>
      </c>
      <c r="B2178" s="7" t="str">
        <f>HYPERLINK("https://twitter.com/JordimGrau","@JordimGrau")</f>
        <v>@JordimGrau</v>
      </c>
      <c r="C2178" s="8" t="s">
        <v>7445</v>
      </c>
      <c r="D2178" s="9" t="s">
        <v>7446</v>
      </c>
      <c r="E2178" s="10" t="str">
        <f>HYPERLINK("https://twitter.com/JordimGrau/status/1064174094290219008","1064174094290219008")</f>
        <v>1064174094290219008</v>
      </c>
      <c r="F2178" s="12"/>
      <c r="G2178" s="12"/>
      <c r="H2178" s="12"/>
      <c r="I2178" s="13">
        <v>0</v>
      </c>
      <c r="J2178" s="13">
        <v>1</v>
      </c>
      <c r="K2178" s="14" t="str">
        <f t="shared" si="406"/>
        <v>Twitter for Android</v>
      </c>
      <c r="L2178" s="13">
        <v>25</v>
      </c>
      <c r="M2178" s="13">
        <v>88</v>
      </c>
      <c r="N2178" s="13">
        <v>0</v>
      </c>
      <c r="O2178" s="15"/>
      <c r="P2178" s="6">
        <v>40709.738425925927</v>
      </c>
      <c r="Q2178" s="17" t="s">
        <v>419</v>
      </c>
      <c r="R2178" s="18"/>
      <c r="S2178" s="12"/>
      <c r="T2178" s="12"/>
      <c r="U2178" s="10" t="str">
        <f>HYPERLINK("https://pbs.twimg.com/profile_images/3617497338/4171657573b5bf2395e9d88ffdf132c4.jpeg","View")</f>
        <v>View</v>
      </c>
    </row>
    <row r="2179" spans="1:21" ht="20.399999999999999">
      <c r="A2179" s="6">
        <v>43422.297766203701</v>
      </c>
      <c r="B2179" s="7" t="str">
        <f>HYPERLINK("https://twitter.com/gelamuriel","@gelamuriel")</f>
        <v>@gelamuriel</v>
      </c>
      <c r="C2179" s="8" t="s">
        <v>7447</v>
      </c>
      <c r="D2179" s="9" t="s">
        <v>7448</v>
      </c>
      <c r="E2179" s="10" t="str">
        <f>HYPERLINK("https://twitter.com/gelamuriel/status/1064173581981163521","1064173581981163521")</f>
        <v>1064173581981163521</v>
      </c>
      <c r="F2179" s="12"/>
      <c r="G2179" s="12"/>
      <c r="H2179" s="12"/>
      <c r="I2179" s="13">
        <v>0</v>
      </c>
      <c r="J2179" s="13">
        <v>0</v>
      </c>
      <c r="K2179" s="14" t="str">
        <f t="shared" si="406"/>
        <v>Twitter for Android</v>
      </c>
      <c r="L2179" s="13">
        <v>184</v>
      </c>
      <c r="M2179" s="13">
        <v>273</v>
      </c>
      <c r="N2179" s="13">
        <v>0</v>
      </c>
      <c r="O2179" s="15"/>
      <c r="P2179" s="6">
        <v>42289.511793981481</v>
      </c>
      <c r="Q2179" s="12"/>
      <c r="R2179" s="16" t="s">
        <v>7449</v>
      </c>
      <c r="S2179" s="12"/>
      <c r="T2179" s="12"/>
      <c r="U2179" s="10" t="str">
        <f>HYPERLINK("https://pbs.twimg.com/profile_images/850764348322709504/x7o6fnAL.jpg","View")</f>
        <v>View</v>
      </c>
    </row>
    <row r="2180" spans="1:21" ht="40.799999999999997">
      <c r="A2180" s="6">
        <v>43422.296597222223</v>
      </c>
      <c r="B2180" s="7" t="str">
        <f>HYPERLINK("https://twitter.com/gusalares","@gusalares")</f>
        <v>@gusalares</v>
      </c>
      <c r="C2180" s="8" t="s">
        <v>7450</v>
      </c>
      <c r="D2180" s="9" t="s">
        <v>7451</v>
      </c>
      <c r="E2180" s="10" t="str">
        <f>HYPERLINK("https://twitter.com/gusalares/status/1064173157999890433","1064173157999890433")</f>
        <v>1064173157999890433</v>
      </c>
      <c r="F2180" s="11" t="s">
        <v>7452</v>
      </c>
      <c r="G2180" s="11" t="s">
        <v>7453</v>
      </c>
      <c r="H2180" s="12"/>
      <c r="I2180" s="13">
        <v>0</v>
      </c>
      <c r="J2180" s="13">
        <v>8</v>
      </c>
      <c r="K2180" s="14" t="str">
        <f t="shared" si="406"/>
        <v>Twitter for Android</v>
      </c>
      <c r="L2180" s="13">
        <v>557</v>
      </c>
      <c r="M2180" s="13">
        <v>791</v>
      </c>
      <c r="N2180" s="13">
        <v>20</v>
      </c>
      <c r="O2180" s="15"/>
      <c r="P2180" s="6">
        <v>41479.597372685181</v>
      </c>
      <c r="Q2180" s="12"/>
      <c r="R2180" s="16" t="s">
        <v>7454</v>
      </c>
      <c r="S2180" s="11" t="s">
        <v>7455</v>
      </c>
      <c r="T2180" s="12"/>
      <c r="U2180" s="10" t="str">
        <f>HYPERLINK("https://pbs.twimg.com/profile_images/1030689952567369728/QLxgUI3T.jpg","View")</f>
        <v>View</v>
      </c>
    </row>
    <row r="2181" spans="1:21" ht="30.6">
      <c r="A2181" s="6">
        <v>43422.294745370367</v>
      </c>
      <c r="B2181" s="7" t="str">
        <f>HYPERLINK("https://twitter.com/MacJuanma","@MacJuanma")</f>
        <v>@MacJuanma</v>
      </c>
      <c r="C2181" s="8" t="s">
        <v>7456</v>
      </c>
      <c r="D2181" s="9" t="s">
        <v>6185</v>
      </c>
      <c r="E2181" s="10" t="str">
        <f>HYPERLINK("https://twitter.com/MacJuanma/status/1064172485309014017","1064172485309014017")</f>
        <v>1064172485309014017</v>
      </c>
      <c r="F2181" s="11" t="s">
        <v>5997</v>
      </c>
      <c r="G2181" s="12"/>
      <c r="H2181" s="12"/>
      <c r="I2181" s="13">
        <v>0</v>
      </c>
      <c r="J2181" s="13">
        <v>0</v>
      </c>
      <c r="K2181" s="14" t="str">
        <f>HYPERLINK("http://twitter.com","Twitter Web Client")</f>
        <v>Twitter Web Client</v>
      </c>
      <c r="L2181" s="13">
        <v>2608</v>
      </c>
      <c r="M2181" s="13">
        <v>413</v>
      </c>
      <c r="N2181" s="13">
        <v>194</v>
      </c>
      <c r="O2181" s="15"/>
      <c r="P2181" s="6">
        <v>40670.981168981481</v>
      </c>
      <c r="Q2181" s="17" t="s">
        <v>7457</v>
      </c>
      <c r="R2181" s="16" t="s">
        <v>7458</v>
      </c>
      <c r="S2181" s="12"/>
      <c r="T2181" s="12"/>
      <c r="U2181" s="10" t="str">
        <f>HYPERLINK("https://pbs.twimg.com/profile_images/1031239004715405312/JFIg4uSD.jpg","View")</f>
        <v>View</v>
      </c>
    </row>
    <row r="2182" spans="1:21" ht="30.6">
      <c r="A2182" s="6">
        <v>43422.294224537036</v>
      </c>
      <c r="B2182" s="7" t="str">
        <f>HYPERLINK("https://twitter.com/jquilez","@jquilez")</f>
        <v>@jquilez</v>
      </c>
      <c r="C2182" s="8" t="s">
        <v>7459</v>
      </c>
      <c r="D2182" s="9" t="s">
        <v>7460</v>
      </c>
      <c r="E2182" s="10" t="str">
        <f>HYPERLINK("https://twitter.com/jquilez/status/1064172297693597697","1064172297693597697")</f>
        <v>1064172297693597697</v>
      </c>
      <c r="F2182" s="11" t="s">
        <v>7461</v>
      </c>
      <c r="G2182" s="12"/>
      <c r="H2182" s="12"/>
      <c r="I2182" s="13">
        <v>0</v>
      </c>
      <c r="J2182" s="13">
        <v>0</v>
      </c>
      <c r="K2182" s="14" t="str">
        <f>HYPERLINK("http://www.facebook.com/twitter","Facebook")</f>
        <v>Facebook</v>
      </c>
      <c r="L2182" s="13">
        <v>136</v>
      </c>
      <c r="M2182" s="13">
        <v>65</v>
      </c>
      <c r="N2182" s="13">
        <v>3</v>
      </c>
      <c r="O2182" s="15"/>
      <c r="P2182" s="6">
        <v>40787.468078703707</v>
      </c>
      <c r="Q2182" s="12"/>
      <c r="R2182" s="16" t="s">
        <v>7462</v>
      </c>
      <c r="S2182" s="12"/>
      <c r="T2182" s="12"/>
      <c r="U2182" s="10" t="str">
        <f>HYPERLINK("https://pbs.twimg.com/profile_images/1523980522/JQB01.jpg","View")</f>
        <v>View</v>
      </c>
    </row>
    <row r="2183" spans="1:21" ht="20.399999999999999">
      <c r="A2183" s="6">
        <v>43422.293946759259</v>
      </c>
      <c r="B2183" s="7" t="str">
        <f>HYPERLINK("https://twitter.com/manolinelreal","@manolinelreal")</f>
        <v>@manolinelreal</v>
      </c>
      <c r="C2183" s="8" t="s">
        <v>609</v>
      </c>
      <c r="D2183" s="9" t="s">
        <v>5246</v>
      </c>
      <c r="E2183" s="10" t="str">
        <f>HYPERLINK("https://twitter.com/manolinelreal/status/1064172197005135873","1064172197005135873")</f>
        <v>1064172197005135873</v>
      </c>
      <c r="F2183" s="11" t="s">
        <v>4961</v>
      </c>
      <c r="G2183" s="12"/>
      <c r="H2183" s="12"/>
      <c r="I2183" s="13">
        <v>1</v>
      </c>
      <c r="J2183" s="13">
        <v>0</v>
      </c>
      <c r="K2183" s="14" t="str">
        <f>HYPERLINK("http://twitter.com/download/android","Twitter for Android")</f>
        <v>Twitter for Android</v>
      </c>
      <c r="L2183" s="13">
        <v>2409</v>
      </c>
      <c r="M2183" s="13">
        <v>2339</v>
      </c>
      <c r="N2183" s="13">
        <v>22</v>
      </c>
      <c r="O2183" s="15"/>
      <c r="P2183" s="6">
        <v>41276.507627314815</v>
      </c>
      <c r="Q2183" s="12"/>
      <c r="R2183" s="16" t="s">
        <v>1267</v>
      </c>
      <c r="S2183" s="12"/>
      <c r="T2183" s="12"/>
      <c r="U2183" s="10" t="str">
        <f>HYPERLINK("https://pbs.twimg.com/profile_images/1060287423475867649/Ko1nWlY_.jpg","View")</f>
        <v>View</v>
      </c>
    </row>
    <row r="2184" spans="1:21" ht="20.399999999999999">
      <c r="A2184" s="6">
        <v>43422.293657407412</v>
      </c>
      <c r="B2184" s="7" t="str">
        <f>HYPERLINK("https://twitter.com/airus23cr","@airus23cr")</f>
        <v>@airus23cr</v>
      </c>
      <c r="C2184" s="8" t="s">
        <v>7463</v>
      </c>
      <c r="D2184" s="9" t="s">
        <v>6641</v>
      </c>
      <c r="E2184" s="10" t="str">
        <f>HYPERLINK("https://twitter.com/airus23cr/status/1064172090641842178","1064172090641842178")</f>
        <v>1064172090641842178</v>
      </c>
      <c r="F2184" s="11" t="s">
        <v>5715</v>
      </c>
      <c r="G2184" s="12"/>
      <c r="H2184" s="12"/>
      <c r="I2184" s="13">
        <v>0</v>
      </c>
      <c r="J2184" s="13">
        <v>0</v>
      </c>
      <c r="K2184" s="14" t="str">
        <f>HYPERLINK("http://twitter.com","Twitter Web Client")</f>
        <v>Twitter Web Client</v>
      </c>
      <c r="L2184" s="13">
        <v>33</v>
      </c>
      <c r="M2184" s="13">
        <v>314</v>
      </c>
      <c r="N2184" s="13">
        <v>0</v>
      </c>
      <c r="O2184" s="15"/>
      <c r="P2184" s="6">
        <v>40534.344814814816</v>
      </c>
      <c r="Q2184" s="12"/>
      <c r="R2184" s="18"/>
      <c r="S2184" s="12"/>
      <c r="T2184" s="12"/>
      <c r="U2184" s="10" t="str">
        <f>HYPERLINK("https://pbs.twimg.com/profile_images/908673870982451200/-E3sMNUj.jpg","View")</f>
        <v>View</v>
      </c>
    </row>
    <row r="2185" spans="1:21" ht="20.399999999999999">
      <c r="A2185" s="6">
        <v>43422.29310185185</v>
      </c>
      <c r="B2185" s="7" t="str">
        <f>HYPERLINK("https://twitter.com/CristoFeliz1","@CristoFeliz1")</f>
        <v>@CristoFeliz1</v>
      </c>
      <c r="C2185" s="8" t="s">
        <v>2423</v>
      </c>
      <c r="D2185" s="9" t="s">
        <v>5075</v>
      </c>
      <c r="E2185" s="10" t="str">
        <f>HYPERLINK("https://twitter.com/CristoFeliz1/status/1064171890061697025","1064171890061697025")</f>
        <v>1064171890061697025</v>
      </c>
      <c r="F2185" s="11" t="s">
        <v>7464</v>
      </c>
      <c r="G2185" s="11" t="s">
        <v>7465</v>
      </c>
      <c r="H2185" s="12"/>
      <c r="I2185" s="13">
        <v>0</v>
      </c>
      <c r="J2185" s="13">
        <v>0</v>
      </c>
      <c r="K2185" s="14" t="str">
        <f>HYPERLINK("https://dlvrit.com/","dlvr.it")</f>
        <v>dlvr.it</v>
      </c>
      <c r="L2185" s="13">
        <v>7046</v>
      </c>
      <c r="M2185" s="13">
        <v>7743</v>
      </c>
      <c r="N2185" s="13">
        <v>561</v>
      </c>
      <c r="O2185" s="15"/>
      <c r="P2185" s="6">
        <v>41186.491469907407</v>
      </c>
      <c r="Q2185" s="17" t="s">
        <v>805</v>
      </c>
      <c r="R2185" s="16" t="s">
        <v>2426</v>
      </c>
      <c r="S2185" s="12"/>
      <c r="T2185" s="12"/>
      <c r="U2185" s="10" t="str">
        <f>HYPERLINK("https://pbs.twimg.com/profile_images/1002564938911703040/1Wvxy6Jm.jpg","View")</f>
        <v>View</v>
      </c>
    </row>
    <row r="2186" spans="1:21" ht="40.799999999999997">
      <c r="A2186" s="6">
        <v>43422.292129629626</v>
      </c>
      <c r="B2186" s="7" t="str">
        <f>HYPERLINK("https://twitter.com/nortecastilla","@nortecastilla")</f>
        <v>@nortecastilla</v>
      </c>
      <c r="C2186" s="20" t="s">
        <v>7467</v>
      </c>
      <c r="D2186" s="9" t="s">
        <v>7468</v>
      </c>
      <c r="E2186" s="10" t="str">
        <f>HYPERLINK("https://twitter.com/nortecastilla/status/1064171537903828992","1064171537903828992")</f>
        <v>1064171537903828992</v>
      </c>
      <c r="F2186" s="11" t="s">
        <v>7469</v>
      </c>
      <c r="G2186" s="12"/>
      <c r="H2186" s="12"/>
      <c r="I2186" s="13">
        <v>1</v>
      </c>
      <c r="J2186" s="13">
        <v>1</v>
      </c>
      <c r="K2186" s="14" t="str">
        <f>HYPERLINK("https://www.hootsuite.com","Hootsuite Inc.")</f>
        <v>Hootsuite Inc.</v>
      </c>
      <c r="L2186" s="13">
        <v>129294</v>
      </c>
      <c r="M2186" s="13">
        <v>136</v>
      </c>
      <c r="N2186" s="13">
        <v>1360</v>
      </c>
      <c r="O2186" s="19" t="s">
        <v>74</v>
      </c>
      <c r="P2186" s="6">
        <v>39972.178414351853</v>
      </c>
      <c r="Q2186" s="17" t="s">
        <v>29</v>
      </c>
      <c r="R2186" s="16" t="s">
        <v>7471</v>
      </c>
      <c r="S2186" s="11" t="s">
        <v>7472</v>
      </c>
      <c r="T2186" s="12"/>
      <c r="U2186" s="10" t="str">
        <f>HYPERLINK("https://pbs.twimg.com/profile_images/875648311646011395/P7n6xnhT.jpg","View")</f>
        <v>View</v>
      </c>
    </row>
    <row r="2187" spans="1:21" ht="20.399999999999999">
      <c r="A2187" s="6">
        <v>43422.289594907408</v>
      </c>
      <c r="B2187" s="7" t="str">
        <f>HYPERLINK("https://twitter.com/Jhoanmanuel23","@Jhoanmanuel23")</f>
        <v>@Jhoanmanuel23</v>
      </c>
      <c r="C2187" s="8" t="s">
        <v>7466</v>
      </c>
      <c r="D2187" s="9" t="s">
        <v>7473</v>
      </c>
      <c r="E2187" s="10" t="str">
        <f>HYPERLINK("https://twitter.com/Jhoanmanuel23/status/1064170619737178113","1064170619737178113")</f>
        <v>1064170619737178113</v>
      </c>
      <c r="F2187" s="12"/>
      <c r="G2187" s="12"/>
      <c r="H2187" s="12"/>
      <c r="I2187" s="13">
        <v>1</v>
      </c>
      <c r="J2187" s="13">
        <v>1</v>
      </c>
      <c r="K2187" s="14" t="str">
        <f t="shared" ref="K2187:K2188" si="407">HYPERLINK("http://twitter.com","Twitter Web Client")</f>
        <v>Twitter Web Client</v>
      </c>
      <c r="L2187" s="13">
        <v>1447</v>
      </c>
      <c r="M2187" s="13">
        <v>1598</v>
      </c>
      <c r="N2187" s="13">
        <v>17</v>
      </c>
      <c r="O2187" s="15"/>
      <c r="P2187" s="6">
        <v>40193.327337962961</v>
      </c>
      <c r="Q2187" s="17" t="s">
        <v>405</v>
      </c>
      <c r="R2187" s="16" t="s">
        <v>7470</v>
      </c>
      <c r="S2187" s="12"/>
      <c r="T2187" s="12"/>
      <c r="U2187" s="10" t="str">
        <f>HYPERLINK("https://pbs.twimg.com/profile_images/982101003364220928/9stEUTUL.jpg","View")</f>
        <v>View</v>
      </c>
    </row>
    <row r="2188" spans="1:21" ht="30.6">
      <c r="A2188" s="6">
        <v>43422.287777777776</v>
      </c>
      <c r="B2188" s="7" t="str">
        <f>HYPERLINK("https://twitter.com/jerocr90","@jerocr90")</f>
        <v>@jerocr90</v>
      </c>
      <c r="C2188" s="8" t="s">
        <v>7474</v>
      </c>
      <c r="D2188" s="9" t="s">
        <v>7475</v>
      </c>
      <c r="E2188" s="10" t="str">
        <f>HYPERLINK("https://twitter.com/jerocr90/status/1064169958383460352","1064169958383460352")</f>
        <v>1064169958383460352</v>
      </c>
      <c r="F2188" s="12"/>
      <c r="G2188" s="12"/>
      <c r="H2188" s="12"/>
      <c r="I2188" s="13">
        <v>0</v>
      </c>
      <c r="J2188" s="13">
        <v>0</v>
      </c>
      <c r="K2188" s="14" t="str">
        <f t="shared" si="407"/>
        <v>Twitter Web Client</v>
      </c>
      <c r="L2188" s="13">
        <v>321</v>
      </c>
      <c r="M2188" s="13">
        <v>1138</v>
      </c>
      <c r="N2188" s="13">
        <v>8</v>
      </c>
      <c r="O2188" s="15"/>
      <c r="P2188" s="6">
        <v>40489.532627314817</v>
      </c>
      <c r="Q2188" s="17" t="s">
        <v>7476</v>
      </c>
      <c r="R2188" s="16" t="s">
        <v>7477</v>
      </c>
      <c r="S2188" s="12"/>
      <c r="T2188" s="12"/>
      <c r="U2188" s="10" t="str">
        <f>HYPERLINK("https://pbs.twimg.com/profile_images/2877123179/47f45efcade0e18aadf413e470dca63d.jpeg","View")</f>
        <v>View</v>
      </c>
    </row>
    <row r="2189" spans="1:21" ht="30.6">
      <c r="A2189" s="6">
        <v>43422.286215277782</v>
      </c>
      <c r="B2189" s="7" t="str">
        <f>HYPERLINK("https://twitter.com/lola7347","@lola7347")</f>
        <v>@lola7347</v>
      </c>
      <c r="C2189" s="8" t="s">
        <v>7478</v>
      </c>
      <c r="D2189" s="9" t="s">
        <v>7479</v>
      </c>
      <c r="E2189" s="10" t="str">
        <f>HYPERLINK("https://twitter.com/lola7347/status/1064169393272295425","1064169393272295425")</f>
        <v>1064169393272295425</v>
      </c>
      <c r="F2189" s="11" t="s">
        <v>5301</v>
      </c>
      <c r="G2189" s="12"/>
      <c r="H2189" s="12"/>
      <c r="I2189" s="13">
        <v>0</v>
      </c>
      <c r="J2189" s="13">
        <v>0</v>
      </c>
      <c r="K2189" s="14" t="str">
        <f>HYPERLINK("http://twitter.com/download/android","Twitter for Android")</f>
        <v>Twitter for Android</v>
      </c>
      <c r="L2189" s="13">
        <v>899</v>
      </c>
      <c r="M2189" s="13">
        <v>874</v>
      </c>
      <c r="N2189" s="13">
        <v>43</v>
      </c>
      <c r="O2189" s="15"/>
      <c r="P2189" s="6">
        <v>40684.443668981483</v>
      </c>
      <c r="Q2189" s="12"/>
      <c r="R2189" s="16" t="s">
        <v>7480</v>
      </c>
      <c r="S2189" s="12"/>
      <c r="T2189" s="12"/>
      <c r="U2189" s="10" t="str">
        <f>HYPERLINK("https://pbs.twimg.com/profile_images/2419614179/huim2cu4ahimyzhkdeyn.jpeg","View")</f>
        <v>View</v>
      </c>
    </row>
    <row r="2190" spans="1:21" ht="40.799999999999997">
      <c r="A2190" s="6">
        <v>43422.284513888888</v>
      </c>
      <c r="B2190" s="7" t="str">
        <f>HYPERLINK("https://twitter.com/salvadorpastorb","@salvadorpastorb")</f>
        <v>@salvadorpastorb</v>
      </c>
      <c r="C2190" s="8" t="s">
        <v>3251</v>
      </c>
      <c r="D2190" s="21" t="s">
        <v>5876</v>
      </c>
      <c r="E2190" s="10" t="str">
        <f>HYPERLINK("https://twitter.com/salvadorpastorb/status/1064168776814477315","1064168776814477315")</f>
        <v>1064168776814477315</v>
      </c>
      <c r="F2190" s="11" t="s">
        <v>5877</v>
      </c>
      <c r="G2190" s="12"/>
      <c r="H2190" s="12"/>
      <c r="I2190" s="13">
        <v>0</v>
      </c>
      <c r="J2190" s="13">
        <v>0</v>
      </c>
      <c r="K2190" s="14" t="str">
        <f t="shared" ref="K2190:K2191" si="408">HYPERLINK("http://twitter.com","Twitter Web Client")</f>
        <v>Twitter Web Client</v>
      </c>
      <c r="L2190" s="13">
        <v>1851</v>
      </c>
      <c r="M2190" s="13">
        <v>5004</v>
      </c>
      <c r="N2190" s="13">
        <v>50</v>
      </c>
      <c r="O2190" s="15"/>
      <c r="P2190" s="6">
        <v>40971.659629629634</v>
      </c>
      <c r="Q2190" s="17" t="s">
        <v>29</v>
      </c>
      <c r="R2190" s="16" t="s">
        <v>3253</v>
      </c>
      <c r="S2190" s="11" t="s">
        <v>3254</v>
      </c>
      <c r="T2190" s="12"/>
      <c r="U2190" s="10" t="str">
        <f>HYPERLINK("https://pbs.twimg.com/profile_images/1872162133/Imagen__4_.jpg","View")</f>
        <v>View</v>
      </c>
    </row>
    <row r="2191" spans="1:21" ht="40.799999999999997">
      <c r="A2191" s="6">
        <v>43422.281944444447</v>
      </c>
      <c r="B2191" s="7" t="str">
        <f>HYPERLINK("https://twitter.com/aravotcat","@aravotcat")</f>
        <v>@aravotcat</v>
      </c>
      <c r="C2191" s="8" t="s">
        <v>7481</v>
      </c>
      <c r="D2191" s="9" t="s">
        <v>6761</v>
      </c>
      <c r="E2191" s="10" t="str">
        <f>HYPERLINK("https://twitter.com/aravotcat/status/1064167846173913089","1064167846173913089")</f>
        <v>1064167846173913089</v>
      </c>
      <c r="F2191" s="11" t="s">
        <v>6701</v>
      </c>
      <c r="G2191" s="12"/>
      <c r="H2191" s="12"/>
      <c r="I2191" s="13">
        <v>1</v>
      </c>
      <c r="J2191" s="13">
        <v>1</v>
      </c>
      <c r="K2191" s="14" t="str">
        <f t="shared" si="408"/>
        <v>Twitter Web Client</v>
      </c>
      <c r="L2191" s="13">
        <v>6409</v>
      </c>
      <c r="M2191" s="13">
        <v>6521</v>
      </c>
      <c r="N2191" s="13">
        <v>94</v>
      </c>
      <c r="O2191" s="15"/>
      <c r="P2191" s="6">
        <v>42276.603912037041</v>
      </c>
      <c r="Q2191" s="17" t="s">
        <v>7482</v>
      </c>
      <c r="R2191" s="16" t="s">
        <v>7483</v>
      </c>
      <c r="S2191" s="11" t="s">
        <v>7484</v>
      </c>
      <c r="T2191" s="12"/>
      <c r="U2191" s="10" t="str">
        <f>HYPERLINK("https://pbs.twimg.com/profile_images/1036658551761063937/hAaqZ4md.jpg","View")</f>
        <v>View</v>
      </c>
    </row>
    <row r="2192" spans="1:21" ht="20.399999999999999">
      <c r="A2192" s="6">
        <v>43422.277129629627</v>
      </c>
      <c r="B2192" s="7" t="str">
        <f>HYPERLINK("https://twitter.com/esjuanol","@esjuanol")</f>
        <v>@esjuanol</v>
      </c>
      <c r="C2192" s="8" t="s">
        <v>7485</v>
      </c>
      <c r="D2192" s="9" t="s">
        <v>7486</v>
      </c>
      <c r="E2192" s="10" t="str">
        <f>HYPERLINK("https://twitter.com/esjuanol/status/1064166102287245312","1064166102287245312")</f>
        <v>1064166102287245312</v>
      </c>
      <c r="F2192" s="17" t="s">
        <v>7487</v>
      </c>
      <c r="G2192" s="12"/>
      <c r="H2192" s="12"/>
      <c r="I2192" s="13">
        <v>0</v>
      </c>
      <c r="J2192" s="13">
        <v>0</v>
      </c>
      <c r="K2192" s="14" t="str">
        <f>HYPERLINK("http://www.tweetedtimes.com","The Tweeted Times")</f>
        <v>The Tweeted Times</v>
      </c>
      <c r="L2192" s="13">
        <v>140</v>
      </c>
      <c r="M2192" s="13">
        <v>460</v>
      </c>
      <c r="N2192" s="13">
        <v>6</v>
      </c>
      <c r="O2192" s="15"/>
      <c r="P2192" s="6">
        <v>40923.105752314819</v>
      </c>
      <c r="Q2192" s="12"/>
      <c r="R2192" s="16" t="s">
        <v>7488</v>
      </c>
      <c r="S2192" s="11" t="s">
        <v>7489</v>
      </c>
      <c r="T2192" s="12"/>
      <c r="U2192" s="10" t="str">
        <f>HYPERLINK("https://pbs.twimg.com/profile_images/3585504520/395fec2e05a18e45c72721b37b61a98d.jpeg","View")</f>
        <v>View</v>
      </c>
    </row>
    <row r="2193" spans="1:21" ht="40.799999999999997">
      <c r="A2193" s="6">
        <v>43422.276840277773</v>
      </c>
      <c r="B2193" s="7" t="str">
        <f>HYPERLINK("https://twitter.com/Javicarrero_","@Javicarrero_")</f>
        <v>@Javicarrero_</v>
      </c>
      <c r="C2193" s="8" t="s">
        <v>7490</v>
      </c>
      <c r="D2193" s="9" t="s">
        <v>7491</v>
      </c>
      <c r="E2193" s="10" t="str">
        <f>HYPERLINK("https://twitter.com/Javicarrero_/status/1064165995642793985","1064165995642793985")</f>
        <v>1064165995642793985</v>
      </c>
      <c r="F2193" s="12"/>
      <c r="G2193" s="12"/>
      <c r="H2193" s="12"/>
      <c r="I2193" s="13">
        <v>0</v>
      </c>
      <c r="J2193" s="13">
        <v>3</v>
      </c>
      <c r="K2193" s="14" t="str">
        <f t="shared" ref="K2193:K2194" si="409">HYPERLINK("http://twitter.com/download/iphone","Twitter for iPhone")</f>
        <v>Twitter for iPhone</v>
      </c>
      <c r="L2193" s="13">
        <v>2242</v>
      </c>
      <c r="M2193" s="13">
        <v>878</v>
      </c>
      <c r="N2193" s="13">
        <v>36</v>
      </c>
      <c r="O2193" s="15"/>
      <c r="P2193" s="6">
        <v>40588.596516203703</v>
      </c>
      <c r="Q2193" s="17" t="s">
        <v>7492</v>
      </c>
      <c r="R2193" s="16" t="s">
        <v>7493</v>
      </c>
      <c r="S2193" s="12"/>
      <c r="T2193" s="12"/>
      <c r="U2193" s="10" t="str">
        <f>HYPERLINK("https://pbs.twimg.com/profile_images/1064164654082138113/M3SXVrtV.jpg","View")</f>
        <v>View</v>
      </c>
    </row>
    <row r="2194" spans="1:21" ht="20.399999999999999">
      <c r="A2194" s="6">
        <v>43422.275601851856</v>
      </c>
      <c r="B2194" s="7" t="str">
        <f>HYPERLINK("https://twitter.com/eddieypunto","@eddieypunto")</f>
        <v>@eddieypunto</v>
      </c>
      <c r="C2194" s="8" t="s">
        <v>7494</v>
      </c>
      <c r="D2194" s="9" t="s">
        <v>7495</v>
      </c>
      <c r="E2194" s="10" t="str">
        <f>HYPERLINK("https://twitter.com/eddieypunto/status/1064165545879236608","1064165545879236608")</f>
        <v>1064165545879236608</v>
      </c>
      <c r="F2194" s="12"/>
      <c r="G2194" s="12"/>
      <c r="H2194" s="12"/>
      <c r="I2194" s="13">
        <v>1</v>
      </c>
      <c r="J2194" s="13">
        <v>1</v>
      </c>
      <c r="K2194" s="14" t="str">
        <f t="shared" si="409"/>
        <v>Twitter for iPhone</v>
      </c>
      <c r="L2194" s="13">
        <v>461</v>
      </c>
      <c r="M2194" s="13">
        <v>805</v>
      </c>
      <c r="N2194" s="13">
        <v>2</v>
      </c>
      <c r="O2194" s="15"/>
      <c r="P2194" s="6">
        <v>40917.577511574076</v>
      </c>
      <c r="Q2194" s="12"/>
      <c r="R2194" s="16" t="s">
        <v>7496</v>
      </c>
      <c r="S2194" s="12"/>
      <c r="T2194" s="12"/>
      <c r="U2194" s="10" t="str">
        <f>HYPERLINK("https://pbs.twimg.com/profile_images/2201190029/corazon.gif","View")</f>
        <v>View</v>
      </c>
    </row>
    <row r="2195" spans="1:21" ht="20.399999999999999">
      <c r="A2195" s="6">
        <v>43422.275057870371</v>
      </c>
      <c r="B2195" s="7" t="str">
        <f>HYPERLINK("https://twitter.com/TodaLaPolitica","@TodaLaPolitica")</f>
        <v>@TodaLaPolitica</v>
      </c>
      <c r="C2195" s="8" t="s">
        <v>7497</v>
      </c>
      <c r="D2195" s="9" t="s">
        <v>6980</v>
      </c>
      <c r="E2195" s="10" t="str">
        <f>HYPERLINK("https://twitter.com/TodaLaPolitica/status/1064165350638567429","1064165350638567429")</f>
        <v>1064165350638567429</v>
      </c>
      <c r="F2195" s="11" t="s">
        <v>7498</v>
      </c>
      <c r="G2195" s="12"/>
      <c r="H2195" s="12"/>
      <c r="I2195" s="13">
        <v>0</v>
      </c>
      <c r="J2195" s="13">
        <v>0</v>
      </c>
      <c r="K2195" s="14" t="str">
        <f>HYPERLINK("http://www.wonderland.fm/","wonderland.fm")</f>
        <v>wonderland.fm</v>
      </c>
      <c r="L2195" s="13">
        <v>15464</v>
      </c>
      <c r="M2195" s="13">
        <v>15813</v>
      </c>
      <c r="N2195" s="13">
        <v>253</v>
      </c>
      <c r="O2195" s="15"/>
      <c r="P2195" s="6">
        <v>41184.261273148149</v>
      </c>
      <c r="Q2195" s="12"/>
      <c r="R2195" s="16" t="s">
        <v>7499</v>
      </c>
      <c r="S2195" s="12"/>
      <c r="T2195" s="12"/>
      <c r="U2195" s="10" t="str">
        <f>HYPERLINK("https://pbs.twimg.com/profile_images/2939240194/ff9732ae14e730f6c9f7b76c9726d98b.png","View")</f>
        <v>View</v>
      </c>
    </row>
    <row r="2196" spans="1:21" ht="20.399999999999999">
      <c r="A2196" s="6">
        <v>43422.274687500001</v>
      </c>
      <c r="B2196" s="7" t="str">
        <f>HYPERLINK("https://twitter.com/dunlag","@dunlag")</f>
        <v>@dunlag</v>
      </c>
      <c r="C2196" s="8" t="s">
        <v>7500</v>
      </c>
      <c r="D2196" s="9" t="s">
        <v>6641</v>
      </c>
      <c r="E2196" s="10" t="str">
        <f>HYPERLINK("https://twitter.com/dunlag/status/1064165215909089281","1064165215909089281")</f>
        <v>1064165215909089281</v>
      </c>
      <c r="F2196" s="11" t="s">
        <v>5715</v>
      </c>
      <c r="G2196" s="12"/>
      <c r="H2196" s="12"/>
      <c r="I2196" s="13">
        <v>1</v>
      </c>
      <c r="J2196" s="13">
        <v>1</v>
      </c>
      <c r="K2196" s="14" t="str">
        <f>HYPERLINK("http://twitter.com","Twitter Web Client")</f>
        <v>Twitter Web Client</v>
      </c>
      <c r="L2196" s="13">
        <v>328</v>
      </c>
      <c r="M2196" s="13">
        <v>215</v>
      </c>
      <c r="N2196" s="13">
        <v>15</v>
      </c>
      <c r="O2196" s="15"/>
      <c r="P2196" s="6">
        <v>39473.628333333334</v>
      </c>
      <c r="Q2196" s="17" t="s">
        <v>506</v>
      </c>
      <c r="R2196" s="16" t="s">
        <v>7501</v>
      </c>
      <c r="S2196" s="11" t="s">
        <v>7502</v>
      </c>
      <c r="T2196" s="12"/>
      <c r="U2196" s="10" t="str">
        <f>HYPERLINK("https://pbs.twimg.com/profile_images/1024684312254472192/M3vyvPyr.jpg","View")</f>
        <v>View</v>
      </c>
    </row>
    <row r="2197" spans="1:21" ht="20.399999999999999">
      <c r="A2197" s="6">
        <v>43422.273969907408</v>
      </c>
      <c r="B2197" s="7" t="str">
        <f>HYPERLINK("https://twitter.com/rokoten","@rokoten")</f>
        <v>@rokoten</v>
      </c>
      <c r="C2197" s="8" t="s">
        <v>56</v>
      </c>
      <c r="D2197" s="9" t="s">
        <v>7503</v>
      </c>
      <c r="E2197" s="10" t="str">
        <f>HYPERLINK("https://twitter.com/rokoten/status/1064164957888102400","1064164957888102400")</f>
        <v>1064164957888102400</v>
      </c>
      <c r="F2197" s="11" t="s">
        <v>7504</v>
      </c>
      <c r="G2197" s="12"/>
      <c r="H2197" s="12"/>
      <c r="I2197" s="13">
        <v>0</v>
      </c>
      <c r="J2197" s="13">
        <v>0</v>
      </c>
      <c r="K2197" s="14" t="str">
        <f t="shared" ref="K2197:K2198" si="410">HYPERLINK("http://twitter.com/download/android","Twitter for Android")</f>
        <v>Twitter for Android</v>
      </c>
      <c r="L2197" s="13">
        <v>20862</v>
      </c>
      <c r="M2197" s="13">
        <v>21122</v>
      </c>
      <c r="N2197" s="13">
        <v>33</v>
      </c>
      <c r="O2197" s="15"/>
      <c r="P2197" s="6">
        <v>40803.061655092592</v>
      </c>
      <c r="Q2197" s="12"/>
      <c r="R2197" s="16" t="s">
        <v>58</v>
      </c>
      <c r="S2197" s="12"/>
      <c r="T2197" s="12"/>
      <c r="U2197" s="10" t="str">
        <f>HYPERLINK("https://pbs.twimg.com/profile_images/595104891590279168/-_3anmkq.jpg","View")</f>
        <v>View</v>
      </c>
    </row>
    <row r="2198" spans="1:21" ht="20.399999999999999">
      <c r="A2198" s="6">
        <v>43422.273483796293</v>
      </c>
      <c r="B2198" s="7" t="str">
        <f>HYPERLINK("https://twitter.com/MribelReal2","@MribelReal2")</f>
        <v>@MribelReal2</v>
      </c>
      <c r="C2198" s="8" t="s">
        <v>7505</v>
      </c>
      <c r="D2198" s="21" t="s">
        <v>7506</v>
      </c>
      <c r="E2198" s="10" t="str">
        <f>HYPERLINK("https://twitter.com/MribelReal2/status/1064164781773504512","1064164781773504512")</f>
        <v>1064164781773504512</v>
      </c>
      <c r="F2198" s="11" t="s">
        <v>5877</v>
      </c>
      <c r="G2198" s="12"/>
      <c r="H2198" s="12"/>
      <c r="I2198" s="13">
        <v>0</v>
      </c>
      <c r="J2198" s="13">
        <v>1</v>
      </c>
      <c r="K2198" s="14" t="str">
        <f t="shared" si="410"/>
        <v>Twitter for Android</v>
      </c>
      <c r="L2198" s="13">
        <v>997</v>
      </c>
      <c r="M2198" s="13">
        <v>928</v>
      </c>
      <c r="N2198" s="13">
        <v>9</v>
      </c>
      <c r="O2198" s="15"/>
      <c r="P2198" s="6">
        <v>42565.368020833332</v>
      </c>
      <c r="Q2198" s="17" t="s">
        <v>7507</v>
      </c>
      <c r="R2198" s="16" t="s">
        <v>7508</v>
      </c>
      <c r="S2198" s="12"/>
      <c r="T2198" s="12"/>
      <c r="U2198" s="10" t="str">
        <f>HYPERLINK("https://pbs.twimg.com/profile_images/1053058196548603906/9jh3UXG0.jpg","View")</f>
        <v>View</v>
      </c>
    </row>
    <row r="2199" spans="1:21" ht="40.799999999999997">
      <c r="A2199" s="6">
        <v>43422.2734375</v>
      </c>
      <c r="B2199" s="7" t="str">
        <f>HYPERLINK("https://twitter.com/ecorepublicano","@ecorepublicano")</f>
        <v>@ecorepublicano</v>
      </c>
      <c r="C2199" s="8" t="s">
        <v>3921</v>
      </c>
      <c r="D2199" s="9" t="s">
        <v>7509</v>
      </c>
      <c r="E2199" s="10" t="str">
        <f>HYPERLINK("https://twitter.com/ecorepublicano/status/1064164764400656386","1064164764400656386")</f>
        <v>1064164764400656386</v>
      </c>
      <c r="F2199" s="12"/>
      <c r="G2199" s="11" t="s">
        <v>7510</v>
      </c>
      <c r="H2199" s="12"/>
      <c r="I2199" s="13">
        <v>17</v>
      </c>
      <c r="J2199" s="13">
        <v>30</v>
      </c>
      <c r="K2199" s="14" t="str">
        <f>HYPERLINK("http://twitter.com/download/iphone","Twitter for iPhone")</f>
        <v>Twitter for iPhone</v>
      </c>
      <c r="L2199" s="13">
        <v>174610</v>
      </c>
      <c r="M2199" s="13">
        <v>93442</v>
      </c>
      <c r="N2199" s="13">
        <v>843</v>
      </c>
      <c r="O2199" s="15"/>
      <c r="P2199" s="6">
        <v>40686.190243055556</v>
      </c>
      <c r="Q2199" s="17" t="s">
        <v>29</v>
      </c>
      <c r="R2199" s="16" t="s">
        <v>3925</v>
      </c>
      <c r="S2199" s="11" t="s">
        <v>3926</v>
      </c>
      <c r="T2199" s="12"/>
      <c r="U2199" s="10" t="str">
        <f>HYPERLINK("https://pbs.twimg.com/profile_images/1017891325029572608/lFqOkfFM.jpg","View")</f>
        <v>View</v>
      </c>
    </row>
    <row r="2200" spans="1:21" ht="30.6">
      <c r="A2200" s="6">
        <v>43422.271944444445</v>
      </c>
      <c r="B2200" s="7" t="str">
        <f>HYPERLINK("https://twitter.com/adrianherfer","@adrianherfer")</f>
        <v>@adrianherfer</v>
      </c>
      <c r="C2200" s="8" t="s">
        <v>7511</v>
      </c>
      <c r="D2200" s="9" t="s">
        <v>7512</v>
      </c>
      <c r="E2200" s="10" t="str">
        <f>HYPERLINK("https://twitter.com/adrianherfer/status/1064164221200596993","1064164221200596993")</f>
        <v>1064164221200596993</v>
      </c>
      <c r="F2200" s="11" t="s">
        <v>7513</v>
      </c>
      <c r="G2200" s="12"/>
      <c r="H2200" s="12"/>
      <c r="I2200" s="13">
        <v>0</v>
      </c>
      <c r="J2200" s="13">
        <v>0</v>
      </c>
      <c r="K2200" s="14" t="str">
        <f t="shared" ref="K2200:K2202" si="411">HYPERLINK("http://twitter.com/download/android","Twitter for Android")</f>
        <v>Twitter for Android</v>
      </c>
      <c r="L2200" s="13">
        <v>267</v>
      </c>
      <c r="M2200" s="13">
        <v>654</v>
      </c>
      <c r="N2200" s="13">
        <v>9</v>
      </c>
      <c r="O2200" s="15"/>
      <c r="P2200" s="6">
        <v>40646.222395833334</v>
      </c>
      <c r="Q2200" s="17" t="s">
        <v>26</v>
      </c>
      <c r="R2200" s="16" t="s">
        <v>7514</v>
      </c>
      <c r="S2200" s="12"/>
      <c r="T2200" s="12"/>
      <c r="U2200" s="10" t="str">
        <f>HYPERLINK("https://pbs.twimg.com/profile_images/1034815042229874688/XNmB_u0-.jpg","View")</f>
        <v>View</v>
      </c>
    </row>
    <row r="2201" spans="1:21" ht="40.799999999999997">
      <c r="A2201" s="6">
        <v>43422.271828703699</v>
      </c>
      <c r="B2201" s="7" t="str">
        <f>HYPERLINK("https://twitter.com/Servimedia","@Servimedia")</f>
        <v>@Servimedia</v>
      </c>
      <c r="C2201" s="8" t="s">
        <v>2091</v>
      </c>
      <c r="D2201" s="9" t="s">
        <v>7515</v>
      </c>
      <c r="E2201" s="10" t="str">
        <f>HYPERLINK("https://twitter.com/Servimedia/status/1064164181618933762","1064164181618933762")</f>
        <v>1064164181618933762</v>
      </c>
      <c r="F2201" s="11" t="s">
        <v>7516</v>
      </c>
      <c r="G2201" s="12"/>
      <c r="H2201" s="12"/>
      <c r="I2201" s="13">
        <v>1</v>
      </c>
      <c r="J2201" s="13">
        <v>1</v>
      </c>
      <c r="K2201" s="14" t="str">
        <f t="shared" si="411"/>
        <v>Twitter for Android</v>
      </c>
      <c r="L2201" s="13">
        <v>14187</v>
      </c>
      <c r="M2201" s="13">
        <v>803</v>
      </c>
      <c r="N2201" s="13">
        <v>805</v>
      </c>
      <c r="O2201" s="15"/>
      <c r="P2201" s="6">
        <v>40463.34306712963</v>
      </c>
      <c r="Q2201" s="17" t="s">
        <v>26</v>
      </c>
      <c r="R2201" s="16" t="s">
        <v>2094</v>
      </c>
      <c r="S2201" s="11" t="s">
        <v>2095</v>
      </c>
      <c r="T2201" s="12"/>
      <c r="U2201" s="10" t="str">
        <f>HYPERLINK("https://pbs.twimg.com/profile_images/912315408295874561/JZPwOPx_.jpg","View")</f>
        <v>View</v>
      </c>
    </row>
    <row r="2202" spans="1:21" ht="30.6">
      <c r="A2202" s="6">
        <v>43422.269641203704</v>
      </c>
      <c r="B2202" s="7" t="str">
        <f>HYPERLINK("https://twitter.com/ec56704ea31e43f","@ec56704ea31e43f")</f>
        <v>@ec56704ea31e43f</v>
      </c>
      <c r="C2202" s="8" t="s">
        <v>7517</v>
      </c>
      <c r="D2202" s="9" t="s">
        <v>7518</v>
      </c>
      <c r="E2202" s="10" t="str">
        <f>HYPERLINK("https://twitter.com/ec56704ea31e43f/status/1064163387108671489","1064163387108671489")</f>
        <v>1064163387108671489</v>
      </c>
      <c r="F2202" s="11" t="s">
        <v>5715</v>
      </c>
      <c r="G2202" s="12"/>
      <c r="H2202" s="12"/>
      <c r="I2202" s="13">
        <v>0</v>
      </c>
      <c r="J2202" s="13">
        <v>0</v>
      </c>
      <c r="K2202" s="14" t="str">
        <f t="shared" si="411"/>
        <v>Twitter for Android</v>
      </c>
      <c r="L2202" s="13">
        <v>0</v>
      </c>
      <c r="M2202" s="13">
        <v>0</v>
      </c>
      <c r="N2202" s="13">
        <v>0</v>
      </c>
      <c r="O2202" s="15"/>
      <c r="P2202" s="6">
        <v>41980.532662037032</v>
      </c>
      <c r="Q2202" s="12"/>
      <c r="R2202" s="18"/>
      <c r="S2202" s="12"/>
      <c r="T2202" s="12"/>
      <c r="U2202" s="10" t="str">
        <f>HYPERLINK("https://pbs.twimg.com/profile_images/541695697729622016/3RXGhIRK.jpeg","View")</f>
        <v>View</v>
      </c>
    </row>
    <row r="2203" spans="1:21" ht="20.399999999999999">
      <c r="A2203" s="6">
        <v>43422.268287037034</v>
      </c>
      <c r="B2203" s="7" t="str">
        <f>HYPERLINK("https://twitter.com/ieseccnn","@ieseccnn")</f>
        <v>@ieseccnn</v>
      </c>
      <c r="C2203" s="8" t="s">
        <v>793</v>
      </c>
      <c r="D2203" s="9" t="s">
        <v>7519</v>
      </c>
      <c r="E2203" s="10" t="str">
        <f>HYPERLINK("https://twitter.com/ieseccnn/status/1064162895217463296","1064162895217463296")</f>
        <v>1064162895217463296</v>
      </c>
      <c r="F2203" s="11" t="s">
        <v>5997</v>
      </c>
      <c r="G2203" s="12"/>
      <c r="H2203" s="12"/>
      <c r="I2203" s="13">
        <v>0</v>
      </c>
      <c r="J2203" s="13">
        <v>0</v>
      </c>
      <c r="K2203" s="14" t="str">
        <f>HYPERLINK("http://www.facebook.com/twitter","Facebook")</f>
        <v>Facebook</v>
      </c>
      <c r="L2203" s="13">
        <v>230</v>
      </c>
      <c r="M2203" s="13">
        <v>231</v>
      </c>
      <c r="N2203" s="13">
        <v>9</v>
      </c>
      <c r="O2203" s="15"/>
      <c r="P2203" s="6">
        <v>39972.490069444444</v>
      </c>
      <c r="Q2203" s="17" t="s">
        <v>29</v>
      </c>
      <c r="R2203" s="16" t="s">
        <v>795</v>
      </c>
      <c r="S2203" s="11" t="s">
        <v>796</v>
      </c>
      <c r="T2203" s="12"/>
      <c r="U2203" s="10" t="str">
        <f>HYPERLINK("https://pbs.twimg.com/profile_images/878298464291106817/vtxbbpe7.jpg","View")</f>
        <v>View</v>
      </c>
    </row>
    <row r="2204" spans="1:21" ht="40.799999999999997">
      <c r="A2204" s="6">
        <v>43422.267337962963</v>
      </c>
      <c r="B2204" s="7" t="str">
        <f>HYPERLINK("https://twitter.com/AlbertoDelJoven","@AlbertoDelJoven")</f>
        <v>@AlbertoDelJoven</v>
      </c>
      <c r="C2204" s="8" t="s">
        <v>7520</v>
      </c>
      <c r="D2204" s="9" t="s">
        <v>7521</v>
      </c>
      <c r="E2204" s="10" t="str">
        <f>HYPERLINK("https://twitter.com/AlbertoDelJoven/status/1064162553197223936","1064162553197223936")</f>
        <v>1064162553197223936</v>
      </c>
      <c r="F2204" s="17" t="s">
        <v>5665</v>
      </c>
      <c r="G2204" s="12"/>
      <c r="H2204" s="12"/>
      <c r="I2204" s="13">
        <v>0</v>
      </c>
      <c r="J2204" s="13">
        <v>0</v>
      </c>
      <c r="K2204" s="14" t="str">
        <f>HYPERLINK("http://twitter.com/download/android","Twitter for Android")</f>
        <v>Twitter for Android</v>
      </c>
      <c r="L2204" s="13">
        <v>585</v>
      </c>
      <c r="M2204" s="13">
        <v>701</v>
      </c>
      <c r="N2204" s="13">
        <v>5</v>
      </c>
      <c r="O2204" s="15"/>
      <c r="P2204" s="6">
        <v>41271.24359953704</v>
      </c>
      <c r="Q2204" s="17" t="s">
        <v>7522</v>
      </c>
      <c r="R2204" s="16" t="s">
        <v>7523</v>
      </c>
      <c r="S2204" s="12"/>
      <c r="T2204" s="12"/>
      <c r="U2204" s="10" t="str">
        <f>HYPERLINK("https://pbs.twimg.com/profile_images/1044707435997548545/RktmWkjc.jpg","View")</f>
        <v>View</v>
      </c>
    </row>
    <row r="2205" spans="1:21" ht="40.799999999999997">
      <c r="A2205" s="6">
        <v>43422.264780092592</v>
      </c>
      <c r="B2205" s="7" t="str">
        <f>HYPERLINK("https://twitter.com/AndrsNezdelaT2","@AndrsNezdelaT2")</f>
        <v>@AndrsNezdelaT2</v>
      </c>
      <c r="C2205" s="8" t="s">
        <v>7524</v>
      </c>
      <c r="D2205" s="9" t="s">
        <v>7525</v>
      </c>
      <c r="E2205" s="10" t="str">
        <f>HYPERLINK("https://twitter.com/AndrsNezdelaT2/status/1064161624439889920","1064161624439889920")</f>
        <v>1064161624439889920</v>
      </c>
      <c r="F2205" s="12"/>
      <c r="G2205" s="12"/>
      <c r="H2205" s="12"/>
      <c r="I2205" s="13">
        <v>0</v>
      </c>
      <c r="J2205" s="13">
        <v>0</v>
      </c>
      <c r="K2205" s="14" t="str">
        <f>HYPERLINK("https://mobile.twitter.com","Twitter Lite")</f>
        <v>Twitter Lite</v>
      </c>
      <c r="L2205" s="13">
        <v>1</v>
      </c>
      <c r="M2205" s="13">
        <v>59</v>
      </c>
      <c r="N2205" s="13">
        <v>0</v>
      </c>
      <c r="O2205" s="15"/>
      <c r="P2205" s="6">
        <v>42994.097037037034</v>
      </c>
      <c r="Q2205" s="12"/>
      <c r="R2205" s="18"/>
      <c r="S2205" s="12"/>
      <c r="T2205" s="12"/>
      <c r="U2205" s="19" t="s">
        <v>368</v>
      </c>
    </row>
    <row r="2206" spans="1:21" ht="20.399999999999999">
      <c r="A2206" s="6">
        <v>43422.264606481476</v>
      </c>
      <c r="B2206" s="7" t="str">
        <f>HYPERLINK("https://twitter.com/perviver","@perviver")</f>
        <v>@perviver</v>
      </c>
      <c r="C2206" s="8" t="s">
        <v>7526</v>
      </c>
      <c r="D2206" s="9" t="s">
        <v>6641</v>
      </c>
      <c r="E2206" s="10" t="str">
        <f>HYPERLINK("https://twitter.com/perviver/status/1064161564540977152","1064161564540977152")</f>
        <v>1064161564540977152</v>
      </c>
      <c r="F2206" s="11" t="s">
        <v>5715</v>
      </c>
      <c r="G2206" s="12"/>
      <c r="H2206" s="12"/>
      <c r="I2206" s="13">
        <v>0</v>
      </c>
      <c r="J2206" s="13">
        <v>0</v>
      </c>
      <c r="K2206" s="14" t="str">
        <f t="shared" ref="K2206:K2208" si="412">HYPERLINK("http://twitter.com/download/android","Twitter for Android")</f>
        <v>Twitter for Android</v>
      </c>
      <c r="L2206" s="13">
        <v>1240</v>
      </c>
      <c r="M2206" s="13">
        <v>2544</v>
      </c>
      <c r="N2206" s="13">
        <v>12</v>
      </c>
      <c r="O2206" s="15"/>
      <c r="P2206" s="6">
        <v>40499.259988425925</v>
      </c>
      <c r="Q2206" s="12"/>
      <c r="R2206" s="18"/>
      <c r="S2206" s="12"/>
      <c r="T2206" s="12"/>
      <c r="U2206" s="10" t="str">
        <f>HYPERLINK("https://pbs.twimg.com/profile_images/895782502048124929/Q7gRvbQg.jpg","View")</f>
        <v>View</v>
      </c>
    </row>
    <row r="2207" spans="1:21" ht="30.6">
      <c r="A2207" s="6">
        <v>43422.264178240745</v>
      </c>
      <c r="B2207" s="7" t="str">
        <f>HYPERLINK("https://twitter.com/jesusaraujo33","@jesusaraujo33")</f>
        <v>@jesusaraujo33</v>
      </c>
      <c r="C2207" s="8" t="s">
        <v>7527</v>
      </c>
      <c r="D2207" s="9" t="s">
        <v>7528</v>
      </c>
      <c r="E2207" s="10" t="str">
        <f>HYPERLINK("https://twitter.com/jesusaraujo33/status/1064161408928108544","1064161408928108544")</f>
        <v>1064161408928108544</v>
      </c>
      <c r="F2207" s="12"/>
      <c r="G2207" s="12"/>
      <c r="H2207" s="12"/>
      <c r="I2207" s="13">
        <v>0</v>
      </c>
      <c r="J2207" s="13">
        <v>1</v>
      </c>
      <c r="K2207" s="14" t="str">
        <f t="shared" si="412"/>
        <v>Twitter for Android</v>
      </c>
      <c r="L2207" s="13">
        <v>743</v>
      </c>
      <c r="M2207" s="13">
        <v>953</v>
      </c>
      <c r="N2207" s="13">
        <v>22</v>
      </c>
      <c r="O2207" s="15"/>
      <c r="P2207" s="6">
        <v>40970.47184027778</v>
      </c>
      <c r="Q2207" s="17" t="s">
        <v>7529</v>
      </c>
      <c r="R2207" s="16" t="s">
        <v>7530</v>
      </c>
      <c r="S2207" s="11" t="s">
        <v>7531</v>
      </c>
      <c r="T2207" s="12"/>
      <c r="U2207" s="10" t="str">
        <f>HYPERLINK("https://pbs.twimg.com/profile_images/1065673811390025728/bl_dZXaO.jpg","View")</f>
        <v>View</v>
      </c>
    </row>
    <row r="2208" spans="1:21" ht="40.799999999999997">
      <c r="A2208" s="6">
        <v>43422.263912037037</v>
      </c>
      <c r="B2208" s="7" t="str">
        <f>HYPERLINK("https://twitter.com/PepitaMenaMart1","@PepitaMenaMart1")</f>
        <v>@PepitaMenaMart1</v>
      </c>
      <c r="C2208" s="8" t="s">
        <v>3432</v>
      </c>
      <c r="D2208" s="9" t="s">
        <v>7532</v>
      </c>
      <c r="E2208" s="10" t="str">
        <f>HYPERLINK("https://twitter.com/PepitaMenaMart1/status/1064161311360208897","1064161311360208897")</f>
        <v>1064161311360208897</v>
      </c>
      <c r="F2208" s="11" t="s">
        <v>7533</v>
      </c>
      <c r="G2208" s="12"/>
      <c r="H2208" s="12"/>
      <c r="I2208" s="13">
        <v>0</v>
      </c>
      <c r="J2208" s="13">
        <v>0</v>
      </c>
      <c r="K2208" s="14" t="str">
        <f t="shared" si="412"/>
        <v>Twitter for Android</v>
      </c>
      <c r="L2208" s="13">
        <v>408</v>
      </c>
      <c r="M2208" s="13">
        <v>334</v>
      </c>
      <c r="N2208" s="13">
        <v>1</v>
      </c>
      <c r="O2208" s="15"/>
      <c r="P2208" s="6">
        <v>43124.513506944444</v>
      </c>
      <c r="Q2208" s="17" t="s">
        <v>3435</v>
      </c>
      <c r="R2208" s="16" t="s">
        <v>3436</v>
      </c>
      <c r="S2208" s="12"/>
      <c r="T2208" s="12"/>
      <c r="U2208" s="10" t="str">
        <f>HYPERLINK("https://pbs.twimg.com/profile_images/1053410905311064064/xChXdA8v.jpg","View")</f>
        <v>View</v>
      </c>
    </row>
    <row r="2209" spans="1:21" ht="30.6">
      <c r="A2209" s="6">
        <v>43422.26390046296</v>
      </c>
      <c r="B2209" s="7" t="str">
        <f t="shared" ref="B2209:B2210" si="413">HYPERLINK("https://twitter.com/bcn2day","@bcn2day")</f>
        <v>@bcn2day</v>
      </c>
      <c r="C2209" s="8" t="s">
        <v>3883</v>
      </c>
      <c r="D2209" s="9" t="s">
        <v>7534</v>
      </c>
      <c r="E2209" s="10" t="str">
        <f>HYPERLINK("https://twitter.com/bcn2day/status/1064161307883184129","1064161307883184129")</f>
        <v>1064161307883184129</v>
      </c>
      <c r="F2209" s="11" t="s">
        <v>7535</v>
      </c>
      <c r="G2209" s="12"/>
      <c r="H2209" s="12"/>
      <c r="I2209" s="13">
        <v>0</v>
      </c>
      <c r="J2209" s="13">
        <v>0</v>
      </c>
      <c r="K2209" s="14" t="str">
        <f t="shared" ref="K2209:K2210" si="414">HYPERLINK("http://www.facebook.com/twitter","Facebook")</f>
        <v>Facebook</v>
      </c>
      <c r="L2209" s="13">
        <v>60</v>
      </c>
      <c r="M2209" s="13">
        <v>10</v>
      </c>
      <c r="N2209" s="13">
        <v>1</v>
      </c>
      <c r="O2209" s="15"/>
      <c r="P2209" s="6">
        <v>42263.745567129634</v>
      </c>
      <c r="Q2209" s="12"/>
      <c r="R2209" s="18"/>
      <c r="S2209" s="12"/>
      <c r="T2209" s="12"/>
      <c r="U2209" s="10" t="str">
        <f t="shared" ref="U2209:U2210" si="415">HYPERLINK("https://pbs.twimg.com/profile_images/644504700356816896/LMbKA-C7.jpg","View")</f>
        <v>View</v>
      </c>
    </row>
    <row r="2210" spans="1:21" ht="40.799999999999997">
      <c r="A2210" s="6">
        <v>43422.263865740737</v>
      </c>
      <c r="B2210" s="7" t="str">
        <f t="shared" si="413"/>
        <v>@bcn2day</v>
      </c>
      <c r="C2210" s="8" t="s">
        <v>3883</v>
      </c>
      <c r="D2210" s="9" t="s">
        <v>7536</v>
      </c>
      <c r="E2210" s="10" t="str">
        <f>HYPERLINK("https://twitter.com/bcn2day/status/1064161293270245377","1064161293270245377")</f>
        <v>1064161293270245377</v>
      </c>
      <c r="F2210" s="11" t="s">
        <v>7537</v>
      </c>
      <c r="G2210" s="12"/>
      <c r="H2210" s="12"/>
      <c r="I2210" s="13">
        <v>0</v>
      </c>
      <c r="J2210" s="13">
        <v>0</v>
      </c>
      <c r="K2210" s="14" t="str">
        <f t="shared" si="414"/>
        <v>Facebook</v>
      </c>
      <c r="L2210" s="13">
        <v>60</v>
      </c>
      <c r="M2210" s="13">
        <v>10</v>
      </c>
      <c r="N2210" s="13">
        <v>1</v>
      </c>
      <c r="O2210" s="15"/>
      <c r="P2210" s="6">
        <v>42263.745567129634</v>
      </c>
      <c r="Q2210" s="12"/>
      <c r="R2210" s="18"/>
      <c r="S2210" s="12"/>
      <c r="T2210" s="12"/>
      <c r="U2210" s="10" t="str">
        <f t="shared" si="415"/>
        <v>View</v>
      </c>
    </row>
    <row r="2211" spans="1:21" ht="20.399999999999999">
      <c r="A2211" s="6">
        <v>43422.263449074075</v>
      </c>
      <c r="B2211" s="7" t="str">
        <f>HYPERLINK("https://twitter.com/vanesapm9","@vanesapm9")</f>
        <v>@vanesapm9</v>
      </c>
      <c r="C2211" s="8" t="s">
        <v>7538</v>
      </c>
      <c r="D2211" s="9" t="s">
        <v>7539</v>
      </c>
      <c r="E2211" s="10" t="str">
        <f>HYPERLINK("https://twitter.com/vanesapm9/status/1064161145123151873","1064161145123151873")</f>
        <v>1064161145123151873</v>
      </c>
      <c r="F2211" s="12"/>
      <c r="G2211" s="12"/>
      <c r="H2211" s="12"/>
      <c r="I2211" s="13">
        <v>1</v>
      </c>
      <c r="J2211" s="13">
        <v>7</v>
      </c>
      <c r="K2211" s="14" t="str">
        <f>HYPERLINK("http://twitter.com/download/android","Twitter for Android")</f>
        <v>Twitter for Android</v>
      </c>
      <c r="L2211" s="13">
        <v>979</v>
      </c>
      <c r="M2211" s="13">
        <v>346</v>
      </c>
      <c r="N2211" s="13">
        <v>2</v>
      </c>
      <c r="O2211" s="15"/>
      <c r="P2211" s="6">
        <v>41899.516041666662</v>
      </c>
      <c r="Q2211" s="17" t="s">
        <v>506</v>
      </c>
      <c r="R2211" s="16" t="s">
        <v>7540</v>
      </c>
      <c r="S2211" s="11" t="s">
        <v>7541</v>
      </c>
      <c r="T2211" s="12"/>
      <c r="U2211" s="10" t="str">
        <f>HYPERLINK("https://pbs.twimg.com/profile_images/1038464649543467013/JUngYnC0.jpg","View")</f>
        <v>View</v>
      </c>
    </row>
    <row r="2212" spans="1:21" ht="40.799999999999997">
      <c r="A2212" s="6">
        <v>43422.262060185181</v>
      </c>
      <c r="B2212" s="7" t="str">
        <f>HYPERLINK("https://twitter.com/l_garate","@l_garate")</f>
        <v>@l_garate</v>
      </c>
      <c r="C2212" s="8" t="s">
        <v>7542</v>
      </c>
      <c r="D2212" s="9" t="s">
        <v>7543</v>
      </c>
      <c r="E2212" s="10" t="str">
        <f>HYPERLINK("https://twitter.com/l_garate/status/1064160638740676608","1064160638740676608")</f>
        <v>1064160638740676608</v>
      </c>
      <c r="F2212" s="11" t="s">
        <v>7544</v>
      </c>
      <c r="G2212" s="12"/>
      <c r="H2212" s="12"/>
      <c r="I2212" s="13">
        <v>0</v>
      </c>
      <c r="J2212" s="13">
        <v>2</v>
      </c>
      <c r="K2212" s="14" t="str">
        <f>HYPERLINK("http://twitter.com","Twitter Web Client")</f>
        <v>Twitter Web Client</v>
      </c>
      <c r="L2212" s="13">
        <v>575</v>
      </c>
      <c r="M2212" s="13">
        <v>1538</v>
      </c>
      <c r="N2212" s="13">
        <v>6</v>
      </c>
      <c r="O2212" s="15"/>
      <c r="P2212" s="6">
        <v>40722.440821759257</v>
      </c>
      <c r="Q2212" s="17" t="s">
        <v>4673</v>
      </c>
      <c r="R2212" s="16" t="s">
        <v>7545</v>
      </c>
      <c r="S2212" s="11" t="s">
        <v>7546</v>
      </c>
      <c r="T2212" s="12"/>
      <c r="U2212" s="10" t="str">
        <f>HYPERLINK("https://pbs.twimg.com/profile_images/415521908822507520/BbBL58gX.jpeg","View")</f>
        <v>View</v>
      </c>
    </row>
    <row r="2213" spans="1:21" ht="51">
      <c r="A2213" s="6">
        <v>43422.260462962964</v>
      </c>
      <c r="B2213" s="7" t="str">
        <f>HYPERLINK("https://twitter.com/bigvicdj","@bigvicdj")</f>
        <v>@bigvicdj</v>
      </c>
      <c r="C2213" s="8" t="s">
        <v>7547</v>
      </c>
      <c r="D2213" s="9" t="s">
        <v>7548</v>
      </c>
      <c r="E2213" s="10" t="str">
        <f>HYPERLINK("https://twitter.com/bigvicdj/status/1064160059603722240","1064160059603722240")</f>
        <v>1064160059603722240</v>
      </c>
      <c r="F2213" s="11" t="s">
        <v>5479</v>
      </c>
      <c r="G2213" s="12"/>
      <c r="H2213" s="12"/>
      <c r="I2213" s="13">
        <v>0</v>
      </c>
      <c r="J2213" s="13">
        <v>0</v>
      </c>
      <c r="K2213" s="14" t="str">
        <f>HYPERLINK("http://www.facebook.com/twitter","Facebook")</f>
        <v>Facebook</v>
      </c>
      <c r="L2213" s="13">
        <v>299</v>
      </c>
      <c r="M2213" s="13">
        <v>290</v>
      </c>
      <c r="N2213" s="13">
        <v>9</v>
      </c>
      <c r="O2213" s="15"/>
      <c r="P2213" s="6">
        <v>40043.431828703702</v>
      </c>
      <c r="Q2213" s="17" t="s">
        <v>7549</v>
      </c>
      <c r="R2213" s="16" t="s">
        <v>7550</v>
      </c>
      <c r="S2213" s="11" t="s">
        <v>7551</v>
      </c>
      <c r="T2213" s="12"/>
      <c r="U2213" s="10" t="str">
        <f>HYPERLINK("https://pbs.twimg.com/profile_images/2767048081/569adee48addfc8ade3d35ca109ac118.png","View")</f>
        <v>View</v>
      </c>
    </row>
    <row r="2214" spans="1:21" ht="40.799999999999997">
      <c r="A2214" s="6">
        <v>43422.260358796295</v>
      </c>
      <c r="B2214" s="7" t="str">
        <f>HYPERLINK("https://twitter.com/qrlttrd","@qrlttrd")</f>
        <v>@qrlttrd</v>
      </c>
      <c r="C2214" s="8" t="s">
        <v>7552</v>
      </c>
      <c r="D2214" s="9" t="s">
        <v>7553</v>
      </c>
      <c r="E2214" s="10" t="str">
        <f>HYPERLINK("https://twitter.com/qrlttrd/status/1064160025357287424","1064160025357287424")</f>
        <v>1064160025357287424</v>
      </c>
      <c r="F2214" s="12"/>
      <c r="G2214" s="12"/>
      <c r="H2214" s="12"/>
      <c r="I2214" s="13">
        <v>1</v>
      </c>
      <c r="J2214" s="13">
        <v>0</v>
      </c>
      <c r="K2214" s="14" t="str">
        <f t="shared" ref="K2214:K2216" si="416">HYPERLINK("http://twitter.com/download/android","Twitter for Android")</f>
        <v>Twitter for Android</v>
      </c>
      <c r="L2214" s="13">
        <v>269</v>
      </c>
      <c r="M2214" s="13">
        <v>205</v>
      </c>
      <c r="N2214" s="13">
        <v>1</v>
      </c>
      <c r="O2214" s="15"/>
      <c r="P2214" s="6">
        <v>42271.563113425931</v>
      </c>
      <c r="Q2214" s="17" t="s">
        <v>7554</v>
      </c>
      <c r="R2214" s="16" t="s">
        <v>7555</v>
      </c>
      <c r="S2214" s="12"/>
      <c r="T2214" s="12"/>
      <c r="U2214" s="10" t="str">
        <f>HYPERLINK("https://pbs.twimg.com/profile_images/1064226088740708353/4Bt9H5rZ.jpg","View")</f>
        <v>View</v>
      </c>
    </row>
    <row r="2215" spans="1:21" ht="30.6">
      <c r="A2215" s="6">
        <v>43422.259988425925</v>
      </c>
      <c r="B2215" s="7" t="str">
        <f>HYPERLINK("https://twitter.com/rosariomama2000","@rosariomama2000")</f>
        <v>@rosariomama2000</v>
      </c>
      <c r="C2215" s="8" t="s">
        <v>7556</v>
      </c>
      <c r="D2215" s="9" t="s">
        <v>7557</v>
      </c>
      <c r="E2215" s="10" t="str">
        <f>HYPERLINK("https://twitter.com/rosariomama2000/status/1064159891630235648","1064159891630235648")</f>
        <v>1064159891630235648</v>
      </c>
      <c r="F2215" s="12"/>
      <c r="G2215" s="11" t="s">
        <v>7559</v>
      </c>
      <c r="H2215" s="12"/>
      <c r="I2215" s="13">
        <v>5</v>
      </c>
      <c r="J2215" s="13">
        <v>7</v>
      </c>
      <c r="K2215" s="14" t="str">
        <f t="shared" si="416"/>
        <v>Twitter for Android</v>
      </c>
      <c r="L2215" s="13">
        <v>4582</v>
      </c>
      <c r="M2215" s="13">
        <v>1905</v>
      </c>
      <c r="N2215" s="13">
        <v>25</v>
      </c>
      <c r="O2215" s="15"/>
      <c r="P2215" s="6">
        <v>42336.162881944445</v>
      </c>
      <c r="Q2215" s="17" t="s">
        <v>7561</v>
      </c>
      <c r="R2215" s="16" t="s">
        <v>7563</v>
      </c>
      <c r="S2215" s="12"/>
      <c r="T2215" s="12"/>
      <c r="U2215" s="10" t="str">
        <f>HYPERLINK("https://pbs.twimg.com/profile_images/984083937067782144/s505lcQ6.jpg","View")</f>
        <v>View</v>
      </c>
    </row>
    <row r="2216" spans="1:21" ht="40.799999999999997">
      <c r="A2216" s="6">
        <v>43422.259826388894</v>
      </c>
      <c r="B2216" s="7" t="str">
        <f>HYPERLINK("https://twitter.com/Antonio_Gilena","@Antonio_Gilena")</f>
        <v>@Antonio_Gilena</v>
      </c>
      <c r="C2216" s="8" t="s">
        <v>7567</v>
      </c>
      <c r="D2216" s="9" t="s">
        <v>7568</v>
      </c>
      <c r="E2216" s="10" t="str">
        <f>HYPERLINK("https://twitter.com/Antonio_Gilena/status/1064159829126782978","1064159829126782978")</f>
        <v>1064159829126782978</v>
      </c>
      <c r="F2216" s="11" t="s">
        <v>5997</v>
      </c>
      <c r="G2216" s="12"/>
      <c r="H2216" s="12"/>
      <c r="I2216" s="13">
        <v>0</v>
      </c>
      <c r="J2216" s="13">
        <v>0</v>
      </c>
      <c r="K2216" s="14" t="str">
        <f t="shared" si="416"/>
        <v>Twitter for Android</v>
      </c>
      <c r="L2216" s="13">
        <v>336</v>
      </c>
      <c r="M2216" s="13">
        <v>455</v>
      </c>
      <c r="N2216" s="13">
        <v>9</v>
      </c>
      <c r="O2216" s="15"/>
      <c r="P2216" s="6">
        <v>40589.444907407407</v>
      </c>
      <c r="Q2216" s="17" t="s">
        <v>7569</v>
      </c>
      <c r="R2216" s="16" t="s">
        <v>7570</v>
      </c>
      <c r="S2216" s="11" t="s">
        <v>7571</v>
      </c>
      <c r="T2216" s="12"/>
      <c r="U2216" s="10" t="str">
        <f>HYPERLINK("https://pbs.twimg.com/profile_images/1038832919693996032/OM0ynkVW.jpg","View")</f>
        <v>View</v>
      </c>
    </row>
    <row r="2217" spans="1:21" ht="20.399999999999999">
      <c r="A2217" s="6">
        <v>43422.258935185186</v>
      </c>
      <c r="B2217" s="7" t="str">
        <f>HYPERLINK("https://twitter.com/MayMuDi","@MayMuDi")</f>
        <v>@MayMuDi</v>
      </c>
      <c r="C2217" s="8" t="s">
        <v>7572</v>
      </c>
      <c r="D2217" s="9" t="s">
        <v>7573</v>
      </c>
      <c r="E2217" s="10" t="str">
        <f>HYPERLINK("https://twitter.com/MayMuDi/status/1064159508749066241","1064159508749066241")</f>
        <v>1064159508749066241</v>
      </c>
      <c r="F2217" s="12"/>
      <c r="G2217" s="12"/>
      <c r="H2217" s="12"/>
      <c r="I2217" s="13">
        <v>0</v>
      </c>
      <c r="J2217" s="13">
        <v>6</v>
      </c>
      <c r="K2217" s="14" t="str">
        <f>HYPERLINK("http://twitter.com/download/iphone","Twitter for iPhone")</f>
        <v>Twitter for iPhone</v>
      </c>
      <c r="L2217" s="13">
        <v>2657</v>
      </c>
      <c r="M2217" s="13">
        <v>1001</v>
      </c>
      <c r="N2217" s="13">
        <v>23</v>
      </c>
      <c r="O2217" s="15"/>
      <c r="P2217" s="6">
        <v>40563.188692129632</v>
      </c>
      <c r="Q2217" s="12"/>
      <c r="R2217" s="16" t="s">
        <v>7574</v>
      </c>
      <c r="S2217" s="12"/>
      <c r="T2217" s="12"/>
      <c r="U2217" s="10" t="str">
        <f>HYPERLINK("https://pbs.twimg.com/profile_images/1061725884686757888/5lRJMW0b.jpg","View")</f>
        <v>View</v>
      </c>
    </row>
    <row r="2218" spans="1:21" ht="30.6">
      <c r="A2218" s="6">
        <v>43422.258842592593</v>
      </c>
      <c r="B2218" s="7" t="str">
        <f>HYPERLINK("https://twitter.com/QuiqueGonzlez5","@QuiqueGonzlez5")</f>
        <v>@QuiqueGonzlez5</v>
      </c>
      <c r="C2218" s="8" t="s">
        <v>7575</v>
      </c>
      <c r="D2218" s="9" t="s">
        <v>7576</v>
      </c>
      <c r="E2218" s="10" t="str">
        <f>HYPERLINK("https://twitter.com/QuiqueGonzlez5/status/1064159472728317952","1064159472728317952")</f>
        <v>1064159472728317952</v>
      </c>
      <c r="F2218" s="12"/>
      <c r="G2218" s="12"/>
      <c r="H2218" s="12"/>
      <c r="I2218" s="13">
        <v>0</v>
      </c>
      <c r="J2218" s="13">
        <v>3</v>
      </c>
      <c r="K2218" s="14" t="str">
        <f t="shared" ref="K2218:K2220" si="417">HYPERLINK("http://twitter.com/download/android","Twitter for Android")</f>
        <v>Twitter for Android</v>
      </c>
      <c r="L2218" s="13">
        <v>410</v>
      </c>
      <c r="M2218" s="13">
        <v>294</v>
      </c>
      <c r="N2218" s="13">
        <v>2</v>
      </c>
      <c r="O2218" s="15"/>
      <c r="P2218" s="6">
        <v>41112.236284722225</v>
      </c>
      <c r="Q2218" s="17" t="s">
        <v>62</v>
      </c>
      <c r="R2218" s="16" t="s">
        <v>7577</v>
      </c>
      <c r="S2218" s="11" t="s">
        <v>7578</v>
      </c>
      <c r="T2218" s="12"/>
      <c r="U2218" s="10" t="str">
        <f>HYPERLINK("https://pbs.twimg.com/profile_images/932314856665026560/qmhR1iWk.jpg","View")</f>
        <v>View</v>
      </c>
    </row>
    <row r="2219" spans="1:21" ht="20.399999999999999">
      <c r="A2219" s="6">
        <v>43422.258668981478</v>
      </c>
      <c r="B2219" s="7" t="str">
        <f>HYPERLINK("https://twitter.com/Miike_LR","@Miike_LR")</f>
        <v>@Miike_LR</v>
      </c>
      <c r="C2219" s="8" t="s">
        <v>7579</v>
      </c>
      <c r="D2219" s="9" t="s">
        <v>7580</v>
      </c>
      <c r="E2219" s="10" t="str">
        <f>HYPERLINK("https://twitter.com/Miike_LR/status/1064159412896628736","1064159412896628736")</f>
        <v>1064159412896628736</v>
      </c>
      <c r="F2219" s="12"/>
      <c r="G2219" s="12"/>
      <c r="H2219" s="12"/>
      <c r="I2219" s="13">
        <v>0</v>
      </c>
      <c r="J2219" s="13">
        <v>0</v>
      </c>
      <c r="K2219" s="14" t="str">
        <f t="shared" si="417"/>
        <v>Twitter for Android</v>
      </c>
      <c r="L2219" s="13">
        <v>359</v>
      </c>
      <c r="M2219" s="13">
        <v>187</v>
      </c>
      <c r="N2219" s="13">
        <v>0</v>
      </c>
      <c r="O2219" s="15"/>
      <c r="P2219" s="6">
        <v>41693.406307870369</v>
      </c>
      <c r="Q2219" s="17" t="s">
        <v>29</v>
      </c>
      <c r="R2219" s="16" t="s">
        <v>7581</v>
      </c>
      <c r="S2219" s="11" t="s">
        <v>7582</v>
      </c>
      <c r="T2219" s="12"/>
      <c r="U2219" s="10" t="str">
        <f>HYPERLINK("https://pbs.twimg.com/profile_images/819276457776189440/CFz5KxEV.jpg","View")</f>
        <v>View</v>
      </c>
    </row>
    <row r="2220" spans="1:21" ht="40.799999999999997">
      <c r="A2220" s="6">
        <v>43422.258587962962</v>
      </c>
      <c r="B2220" s="7" t="str">
        <f>HYPERLINK("https://twitter.com/JaviUB_96","@JaviUB_96")</f>
        <v>@JaviUB_96</v>
      </c>
      <c r="C2220" s="8" t="s">
        <v>7583</v>
      </c>
      <c r="D2220" s="9" t="s">
        <v>7584</v>
      </c>
      <c r="E2220" s="10" t="str">
        <f>HYPERLINK("https://twitter.com/JaviUB_96/status/1064159383016402945","1064159383016402945")</f>
        <v>1064159383016402945</v>
      </c>
      <c r="F2220" s="12"/>
      <c r="G2220" s="12"/>
      <c r="H2220" s="12"/>
      <c r="I2220" s="13">
        <v>0</v>
      </c>
      <c r="J2220" s="13">
        <v>0</v>
      </c>
      <c r="K2220" s="14" t="str">
        <f t="shared" si="417"/>
        <v>Twitter for Android</v>
      </c>
      <c r="L2220" s="13">
        <v>448</v>
      </c>
      <c r="M2220" s="13">
        <v>378</v>
      </c>
      <c r="N2220" s="13">
        <v>2</v>
      </c>
      <c r="O2220" s="15"/>
      <c r="P2220" s="6">
        <v>40772.791145833333</v>
      </c>
      <c r="Q2220" s="17" t="s">
        <v>7585</v>
      </c>
      <c r="R2220" s="16" t="s">
        <v>7586</v>
      </c>
      <c r="S2220" s="12"/>
      <c r="T2220" s="12"/>
      <c r="U2220" s="10" t="str">
        <f>HYPERLINK("https://pbs.twimg.com/profile_images/1014118326832893953/BoSPFlMk.jpg","View")</f>
        <v>View</v>
      </c>
    </row>
    <row r="2221" spans="1:21" ht="20.399999999999999">
      <c r="A2221" s="6">
        <v>43422.257002314815</v>
      </c>
      <c r="B2221" s="7" t="str">
        <f>HYPERLINK("https://twitter.com/Newsss15","@Newsss15")</f>
        <v>@Newsss15</v>
      </c>
      <c r="C2221" s="8" t="s">
        <v>7587</v>
      </c>
      <c r="D2221" s="9" t="s">
        <v>7588</v>
      </c>
      <c r="E2221" s="10" t="str">
        <f>HYPERLINK("https://twitter.com/Newsss15/status/1064158807406899200","1064158807406899200")</f>
        <v>1064158807406899200</v>
      </c>
      <c r="F2221" s="11" t="s">
        <v>5715</v>
      </c>
      <c r="G2221" s="12"/>
      <c r="H2221" s="12"/>
      <c r="I2221" s="13">
        <v>0</v>
      </c>
      <c r="J2221" s="13">
        <v>0</v>
      </c>
      <c r="K2221" s="14" t="str">
        <f>HYPERLINK("http://twitter.com","Twitter Web Client")</f>
        <v>Twitter Web Client</v>
      </c>
      <c r="L2221" s="13">
        <v>41</v>
      </c>
      <c r="M2221" s="13">
        <v>133</v>
      </c>
      <c r="N2221" s="13">
        <v>1</v>
      </c>
      <c r="O2221" s="15"/>
      <c r="P2221" s="6">
        <v>42190.355833333335</v>
      </c>
      <c r="Q2221" s="17" t="s">
        <v>7589</v>
      </c>
      <c r="R2221" s="16" t="s">
        <v>7590</v>
      </c>
      <c r="S2221" s="12"/>
      <c r="T2221" s="12"/>
      <c r="U2221" s="10" t="str">
        <f>HYPERLINK("https://pbs.twimg.com/profile_images/996287009651126272/VMKrAS2M.jpg","View")</f>
        <v>View</v>
      </c>
    </row>
    <row r="2222" spans="1:21" ht="20.399999999999999">
      <c r="A2222" s="6">
        <v>43422.25675925926</v>
      </c>
      <c r="B2222" s="7" t="str">
        <f>HYPERLINK("https://twitter.com/altamiranoMLG","@altamiranoMLG")</f>
        <v>@altamiranoMLG</v>
      </c>
      <c r="C2222" s="8" t="s">
        <v>7558</v>
      </c>
      <c r="D2222" s="9" t="s">
        <v>7560</v>
      </c>
      <c r="E2222" s="10" t="str">
        <f>HYPERLINK("https://twitter.com/altamiranoMLG/status/1064158719720722432","1064158719720722432")</f>
        <v>1064158719720722432</v>
      </c>
      <c r="F2222" s="12"/>
      <c r="G2222" s="11" t="s">
        <v>7562</v>
      </c>
      <c r="H2222" s="12"/>
      <c r="I2222" s="13">
        <v>20</v>
      </c>
      <c r="J2222" s="13">
        <v>46</v>
      </c>
      <c r="K2222" s="14" t="str">
        <f>HYPERLINK("http://twitter.com/download/iphone","Twitter for iPhone")</f>
        <v>Twitter for iPhone</v>
      </c>
      <c r="L2222" s="13">
        <v>26837</v>
      </c>
      <c r="M2222" s="13">
        <v>25975</v>
      </c>
      <c r="N2222" s="13">
        <v>104</v>
      </c>
      <c r="O2222" s="15"/>
      <c r="P2222" s="6">
        <v>41501.578414351854</v>
      </c>
      <c r="Q2222" s="17" t="s">
        <v>7564</v>
      </c>
      <c r="R2222" s="16" t="s">
        <v>7565</v>
      </c>
      <c r="S2222" s="11" t="s">
        <v>7566</v>
      </c>
      <c r="T2222" s="12"/>
      <c r="U2222" s="10" t="str">
        <f>HYPERLINK("https://pbs.twimg.com/profile_images/972022450786590720/M_Brz1Da.jpg","View")</f>
        <v>View</v>
      </c>
    </row>
    <row r="2223" spans="1:21" ht="30.6">
      <c r="A2223" s="6">
        <v>43422.254282407404</v>
      </c>
      <c r="B2223" s="7" t="str">
        <f>HYPERLINK("https://twitter.com/IskraOrella","@IskraOrella")</f>
        <v>@IskraOrella</v>
      </c>
      <c r="C2223" s="8" t="s">
        <v>7591</v>
      </c>
      <c r="D2223" s="9" t="s">
        <v>6185</v>
      </c>
      <c r="E2223" s="10" t="str">
        <f>HYPERLINK("https://twitter.com/IskraOrella/status/1064157820126416896","1064157820126416896")</f>
        <v>1064157820126416896</v>
      </c>
      <c r="F2223" s="11" t="s">
        <v>5997</v>
      </c>
      <c r="G2223" s="12"/>
      <c r="H2223" s="12"/>
      <c r="I2223" s="13">
        <v>0</v>
      </c>
      <c r="J2223" s="13">
        <v>0</v>
      </c>
      <c r="K2223" s="14" t="str">
        <f t="shared" ref="K2223:K2224" si="418">HYPERLINK("http://twitter.com","Twitter Web Client")</f>
        <v>Twitter Web Client</v>
      </c>
      <c r="L2223" s="13">
        <v>122</v>
      </c>
      <c r="M2223" s="13">
        <v>220</v>
      </c>
      <c r="N2223" s="13">
        <v>0</v>
      </c>
      <c r="O2223" s="15"/>
      <c r="P2223" s="6">
        <v>41714.480613425927</v>
      </c>
      <c r="Q2223" s="17" t="s">
        <v>7592</v>
      </c>
      <c r="R2223" s="16" t="s">
        <v>7593</v>
      </c>
      <c r="S2223" s="12"/>
      <c r="T2223" s="12"/>
      <c r="U2223" s="10" t="str">
        <f>HYPERLINK("https://pbs.twimg.com/profile_images/1003402519329067008/fXosvWts.jpg","View")</f>
        <v>View</v>
      </c>
    </row>
    <row r="2224" spans="1:21" ht="40.799999999999997">
      <c r="A2224" s="6">
        <v>43422.252395833333</v>
      </c>
      <c r="B2224" s="7" t="str">
        <f>HYPERLINK("https://twitter.com/CobraConciencia","@CobraConciencia")</f>
        <v>@CobraConciencia</v>
      </c>
      <c r="C2224" s="8" t="s">
        <v>7594</v>
      </c>
      <c r="D2224" s="9" t="s">
        <v>7595</v>
      </c>
      <c r="E2224" s="10" t="str">
        <f>HYPERLINK("https://twitter.com/CobraConciencia/status/1064157138161991681","1064157138161991681")</f>
        <v>1064157138161991681</v>
      </c>
      <c r="F2224" s="11" t="s">
        <v>7596</v>
      </c>
      <c r="G2224" s="12"/>
      <c r="H2224" s="12"/>
      <c r="I2224" s="13">
        <v>0</v>
      </c>
      <c r="J2224" s="13">
        <v>0</v>
      </c>
      <c r="K2224" s="14" t="str">
        <f t="shared" si="418"/>
        <v>Twitter Web Client</v>
      </c>
      <c r="L2224" s="13">
        <v>81</v>
      </c>
      <c r="M2224" s="13">
        <v>157</v>
      </c>
      <c r="N2224" s="13">
        <v>3</v>
      </c>
      <c r="O2224" s="15"/>
      <c r="P2224" s="6">
        <v>41043.606990740736</v>
      </c>
      <c r="Q2224" s="17" t="s">
        <v>374</v>
      </c>
      <c r="R2224" s="16" t="s">
        <v>7597</v>
      </c>
      <c r="S2224" s="11" t="s">
        <v>7598</v>
      </c>
      <c r="T2224" s="12"/>
      <c r="U2224" s="10" t="str">
        <f>HYPERLINK("https://pbs.twimg.com/profile_images/2240627742/altavoz.png","View")</f>
        <v>View</v>
      </c>
    </row>
    <row r="2225" spans="1:21" ht="40.799999999999997">
      <c r="A2225" s="6">
        <v>43422.250289351854</v>
      </c>
      <c r="B2225" s="7" t="str">
        <f>HYPERLINK("https://twitter.com/lextresabogados","@lextresabogados")</f>
        <v>@lextresabogados</v>
      </c>
      <c r="C2225" s="8" t="s">
        <v>59</v>
      </c>
      <c r="D2225" s="9" t="s">
        <v>7599</v>
      </c>
      <c r="E2225" s="10" t="str">
        <f>HYPERLINK("https://twitter.com/lextresabogados/status/1064156375884939266","1064156375884939266")</f>
        <v>1064156375884939266</v>
      </c>
      <c r="F2225" s="11" t="s">
        <v>7600</v>
      </c>
      <c r="G2225" s="12"/>
      <c r="H2225" s="12"/>
      <c r="I2225" s="13">
        <v>0</v>
      </c>
      <c r="J2225" s="13">
        <v>0</v>
      </c>
      <c r="K2225" s="14" t="str">
        <f>HYPERLINK("http://35.180.36.179","botize nueva")</f>
        <v>botize nueva</v>
      </c>
      <c r="L2225" s="13">
        <v>2229</v>
      </c>
      <c r="M2225" s="13">
        <v>3277</v>
      </c>
      <c r="N2225" s="13">
        <v>22</v>
      </c>
      <c r="O2225" s="15"/>
      <c r="P2225" s="6">
        <v>42880.395949074074</v>
      </c>
      <c r="Q2225" s="17" t="s">
        <v>62</v>
      </c>
      <c r="R2225" s="16" t="s">
        <v>63</v>
      </c>
      <c r="S2225" s="11" t="s">
        <v>64</v>
      </c>
      <c r="T2225" s="12"/>
      <c r="U2225" s="10" t="str">
        <f>HYPERLINK("https://pbs.twimg.com/profile_images/1058352229546164224/xnNCczNu.jpg","View")</f>
        <v>View</v>
      </c>
    </row>
    <row r="2226" spans="1:21" ht="30.6">
      <c r="A2226" s="6">
        <v>43422.247395833328</v>
      </c>
      <c r="B2226" s="7" t="str">
        <f>HYPERLINK("https://twitter.com/Kaesarito","@Kaesarito")</f>
        <v>@Kaesarito</v>
      </c>
      <c r="C2226" s="8" t="s">
        <v>7601</v>
      </c>
      <c r="D2226" s="9" t="s">
        <v>7602</v>
      </c>
      <c r="E2226" s="10" t="str">
        <f>HYPERLINK("https://twitter.com/Kaesarito/status/1064155328248537088","1064155328248537088")</f>
        <v>1064155328248537088</v>
      </c>
      <c r="F2226" s="11" t="s">
        <v>5997</v>
      </c>
      <c r="G2226" s="12"/>
      <c r="H2226" s="12"/>
      <c r="I2226" s="13">
        <v>0</v>
      </c>
      <c r="J2226" s="13">
        <v>0</v>
      </c>
      <c r="K2226" s="14" t="str">
        <f t="shared" ref="K2226:K2227" si="419">HYPERLINK("http://twitter.com/download/android","Twitter for Android")</f>
        <v>Twitter for Android</v>
      </c>
      <c r="L2226" s="13">
        <v>629</v>
      </c>
      <c r="M2226" s="13">
        <v>2894</v>
      </c>
      <c r="N2226" s="13">
        <v>24</v>
      </c>
      <c r="O2226" s="15"/>
      <c r="P2226" s="6">
        <v>41462.652719907404</v>
      </c>
      <c r="Q2226" s="12"/>
      <c r="R2226" s="16" t="s">
        <v>7603</v>
      </c>
      <c r="S2226" s="12"/>
      <c r="T2226" s="12"/>
      <c r="U2226" s="10" t="str">
        <f>HYPERLINK("https://pbs.twimg.com/profile_images/666270648994500608/qjJeX11K.jpg","View")</f>
        <v>View</v>
      </c>
    </row>
    <row r="2227" spans="1:21" ht="20.399999999999999">
      <c r="A2227" s="6">
        <v>43422.246944444443</v>
      </c>
      <c r="B2227" s="7" t="str">
        <f>HYPERLINK("https://twitter.com/elymental_","@elymental_")</f>
        <v>@elymental_</v>
      </c>
      <c r="C2227" s="8" t="s">
        <v>7604</v>
      </c>
      <c r="D2227" s="9" t="s">
        <v>7605</v>
      </c>
      <c r="E2227" s="10" t="str">
        <f>HYPERLINK("https://twitter.com/elymental_/status/1064155164305698818","1064155164305698818")</f>
        <v>1064155164305698818</v>
      </c>
      <c r="F2227" s="12"/>
      <c r="G2227" s="12"/>
      <c r="H2227" s="12"/>
      <c r="I2227" s="13">
        <v>0</v>
      </c>
      <c r="J2227" s="13">
        <v>0</v>
      </c>
      <c r="K2227" s="14" t="str">
        <f t="shared" si="419"/>
        <v>Twitter for Android</v>
      </c>
      <c r="L2227" s="13">
        <v>477</v>
      </c>
      <c r="M2227" s="13">
        <v>469</v>
      </c>
      <c r="N2227" s="13">
        <v>15</v>
      </c>
      <c r="O2227" s="15"/>
      <c r="P2227" s="6">
        <v>40781.294479166667</v>
      </c>
      <c r="Q2227" s="17" t="s">
        <v>7606</v>
      </c>
      <c r="R2227" s="16" t="s">
        <v>7607</v>
      </c>
      <c r="S2227" s="11" t="s">
        <v>7608</v>
      </c>
      <c r="T2227" s="12"/>
      <c r="U2227" s="10" t="str">
        <f>HYPERLINK("https://pbs.twimg.com/profile_images/1063092546069557248/5Ab_DWpf.jpg","View")</f>
        <v>View</v>
      </c>
    </row>
    <row r="2228" spans="1:21" ht="20.399999999999999">
      <c r="A2228" s="6">
        <v>43422.244085648148</v>
      </c>
      <c r="B2228" s="7" t="str">
        <f>HYPERLINK("https://twitter.com/doriangrey63","@doriangrey63")</f>
        <v>@doriangrey63</v>
      </c>
      <c r="C2228" s="8" t="s">
        <v>7609</v>
      </c>
      <c r="D2228" s="9" t="s">
        <v>6641</v>
      </c>
      <c r="E2228" s="10" t="str">
        <f>HYPERLINK("https://twitter.com/doriangrey63/status/1064154127754829824","1064154127754829824")</f>
        <v>1064154127754829824</v>
      </c>
      <c r="F2228" s="11" t="s">
        <v>5715</v>
      </c>
      <c r="G2228" s="12"/>
      <c r="H2228" s="12"/>
      <c r="I2228" s="13">
        <v>1</v>
      </c>
      <c r="J2228" s="13">
        <v>1</v>
      </c>
      <c r="K2228" s="14" t="str">
        <f>HYPERLINK("http://twitter.com/#!/download/ipad","Twitter for iPad")</f>
        <v>Twitter for iPad</v>
      </c>
      <c r="L2228" s="13">
        <v>1122</v>
      </c>
      <c r="M2228" s="13">
        <v>995</v>
      </c>
      <c r="N2228" s="13">
        <v>40</v>
      </c>
      <c r="O2228" s="15"/>
      <c r="P2228" s="6">
        <v>41166.056875000002</v>
      </c>
      <c r="Q2228" s="17" t="s">
        <v>29</v>
      </c>
      <c r="R2228" s="18"/>
      <c r="S2228" s="12"/>
      <c r="T2228" s="12"/>
      <c r="U2228" s="10" t="str">
        <f>HYPERLINK("https://pbs.twimg.com/profile_images/1057586706810056704/gwpzSr3B.jpg","View")</f>
        <v>View</v>
      </c>
    </row>
    <row r="2229" spans="1:21" ht="30.6">
      <c r="A2229" s="6">
        <v>43422.244039351848</v>
      </c>
      <c r="B2229" s="7" t="str">
        <f>HYPERLINK("https://twitter.com/VtMarin","@VtMarin")</f>
        <v>@VtMarin</v>
      </c>
      <c r="C2229" s="8" t="s">
        <v>7610</v>
      </c>
      <c r="D2229" s="9" t="s">
        <v>7611</v>
      </c>
      <c r="E2229" s="10" t="str">
        <f>HYPERLINK("https://twitter.com/VtMarin/status/1064154111027830785","1064154111027830785")</f>
        <v>1064154111027830785</v>
      </c>
      <c r="F2229" s="11" t="s">
        <v>4961</v>
      </c>
      <c r="G2229" s="12"/>
      <c r="H2229" s="12"/>
      <c r="I2229" s="13">
        <v>0</v>
      </c>
      <c r="J2229" s="13">
        <v>2</v>
      </c>
      <c r="K2229" s="14" t="str">
        <f>HYPERLINK("http://twitter.com/download/android","Twitter for Android")</f>
        <v>Twitter for Android</v>
      </c>
      <c r="L2229" s="13">
        <v>259</v>
      </c>
      <c r="M2229" s="13">
        <v>581</v>
      </c>
      <c r="N2229" s="13">
        <v>22</v>
      </c>
      <c r="O2229" s="15"/>
      <c r="P2229" s="6">
        <v>40276.501597222225</v>
      </c>
      <c r="Q2229" s="17" t="s">
        <v>7612</v>
      </c>
      <c r="R2229" s="16" t="s">
        <v>7613</v>
      </c>
      <c r="S2229" s="12"/>
      <c r="T2229" s="12"/>
      <c r="U2229" s="10" t="str">
        <f>HYPERLINK("https://pbs.twimg.com/profile_images/983652435091709953/uwhX1kX2.jpg","View")</f>
        <v>View</v>
      </c>
    </row>
    <row r="2230" spans="1:21" ht="20.399999999999999">
      <c r="A2230" s="6">
        <v>43422.243344907409</v>
      </c>
      <c r="B2230" s="7" t="str">
        <f>HYPERLINK("https://twitter.com/MariaFernandezF","@MariaFernandezF")</f>
        <v>@MariaFernandezF</v>
      </c>
      <c r="C2230" s="8" t="s">
        <v>7614</v>
      </c>
      <c r="D2230" s="9" t="s">
        <v>7615</v>
      </c>
      <c r="E2230" s="10" t="str">
        <f>HYPERLINK("https://twitter.com/MariaFernandezF/status/1064153856471433216","1064153856471433216")</f>
        <v>1064153856471433216</v>
      </c>
      <c r="F2230" s="12"/>
      <c r="G2230" s="12"/>
      <c r="H2230" s="12"/>
      <c r="I2230" s="13">
        <v>0</v>
      </c>
      <c r="J2230" s="13">
        <v>0</v>
      </c>
      <c r="K2230" s="14" t="str">
        <f>HYPERLINK("http://twitter.com/download/iphone","Twitter for iPhone")</f>
        <v>Twitter for iPhone</v>
      </c>
      <c r="L2230" s="13">
        <v>357</v>
      </c>
      <c r="M2230" s="13">
        <v>319</v>
      </c>
      <c r="N2230" s="13">
        <v>13</v>
      </c>
      <c r="O2230" s="15"/>
      <c r="P2230" s="6">
        <v>40163.187650462962</v>
      </c>
      <c r="Q2230" s="17" t="s">
        <v>7616</v>
      </c>
      <c r="R2230" s="18"/>
      <c r="S2230" s="12"/>
      <c r="T2230" s="12"/>
      <c r="U2230" s="10" t="str">
        <f>HYPERLINK("https://pbs.twimg.com/profile_images/881468349246578688/_YhehdSk.jpg","View")</f>
        <v>View</v>
      </c>
    </row>
    <row r="2231" spans="1:21" ht="20.399999999999999">
      <c r="A2231" s="6">
        <v>43422.243229166663</v>
      </c>
      <c r="B2231" s="7" t="str">
        <f>HYPERLINK("https://twitter.com/LaVanguardia","@LaVanguardia")</f>
        <v>@LaVanguardia</v>
      </c>
      <c r="C2231" s="8" t="s">
        <v>3704</v>
      </c>
      <c r="D2231" s="9" t="s">
        <v>7599</v>
      </c>
      <c r="E2231" s="10" t="str">
        <f>HYPERLINK("https://twitter.com/LaVanguardia/status/1064153817359572992","1064153817359572992")</f>
        <v>1064153817359572992</v>
      </c>
      <c r="F2231" s="11" t="s">
        <v>7600</v>
      </c>
      <c r="G2231" s="12"/>
      <c r="H2231" s="12"/>
      <c r="I2231" s="13">
        <v>0</v>
      </c>
      <c r="J2231" s="13">
        <v>2</v>
      </c>
      <c r="K2231" s="14" t="str">
        <f>HYPERLINK("http://www.lavanguardia.es","App publicación twits DGRID")</f>
        <v>App publicación twits DGRID</v>
      </c>
      <c r="L2231" s="13">
        <v>997176</v>
      </c>
      <c r="M2231" s="13">
        <v>523</v>
      </c>
      <c r="N2231" s="13">
        <v>12534</v>
      </c>
      <c r="O2231" s="19" t="s">
        <v>74</v>
      </c>
      <c r="P2231" s="6">
        <v>40071.289548611108</v>
      </c>
      <c r="Q2231" s="17" t="s">
        <v>187</v>
      </c>
      <c r="R2231" s="16" t="s">
        <v>3705</v>
      </c>
      <c r="S2231" s="11" t="s">
        <v>3706</v>
      </c>
      <c r="T2231" s="12"/>
      <c r="U2231" s="10" t="str">
        <f>HYPERLINK("https://pbs.twimg.com/profile_images/936873783721320448/6Q97S0pp.jpg","View")</f>
        <v>View</v>
      </c>
    </row>
    <row r="2232" spans="1:21" ht="13.2">
      <c r="A2232" s="6">
        <v>43422.242719907408</v>
      </c>
      <c r="B2232" s="7" t="str">
        <f>HYPERLINK("https://twitter.com/gloria_analco","@gloria_analco")</f>
        <v>@gloria_analco</v>
      </c>
      <c r="C2232" s="8" t="s">
        <v>7617</v>
      </c>
      <c r="D2232" s="9" t="s">
        <v>7618</v>
      </c>
      <c r="E2232" s="10" t="str">
        <f>HYPERLINK("https://twitter.com/gloria_analco/status/1064153631052783617","1064153631052783617")</f>
        <v>1064153631052783617</v>
      </c>
      <c r="F2232" s="11" t="s">
        <v>7378</v>
      </c>
      <c r="G2232" s="12"/>
      <c r="H2232" s="12"/>
      <c r="I2232" s="13">
        <v>0</v>
      </c>
      <c r="J2232" s="13">
        <v>0</v>
      </c>
      <c r="K2232" s="14" t="str">
        <f>HYPERLINK("http://www.facebook.com/twitter","Facebook")</f>
        <v>Facebook</v>
      </c>
      <c r="L2232" s="13">
        <v>6</v>
      </c>
      <c r="M2232" s="13">
        <v>7</v>
      </c>
      <c r="N2232" s="13">
        <v>0</v>
      </c>
      <c r="O2232" s="15"/>
      <c r="P2232" s="6">
        <v>42568.990879629629</v>
      </c>
      <c r="Q2232" s="12"/>
      <c r="R2232" s="18"/>
      <c r="S2232" s="12"/>
      <c r="T2232" s="12"/>
      <c r="U2232" s="19" t="s">
        <v>368</v>
      </c>
    </row>
    <row r="2233" spans="1:21" ht="40.799999999999997">
      <c r="A2233" s="6">
        <v>43422.241620370369</v>
      </c>
      <c r="B2233" s="7" t="str">
        <f>HYPERLINK("https://twitter.com/smerlapeke","@smerlapeke")</f>
        <v>@smerlapeke</v>
      </c>
      <c r="C2233" s="8" t="s">
        <v>1109</v>
      </c>
      <c r="D2233" s="9" t="s">
        <v>7619</v>
      </c>
      <c r="E2233" s="10" t="str">
        <f>HYPERLINK("https://twitter.com/smerlapeke/status/1064153231675351040","1064153231675351040")</f>
        <v>1064153231675351040</v>
      </c>
      <c r="F2233" s="11" t="s">
        <v>7620</v>
      </c>
      <c r="G2233" s="12"/>
      <c r="H2233" s="12"/>
      <c r="I2233" s="13">
        <v>0</v>
      </c>
      <c r="J2233" s="13">
        <v>0</v>
      </c>
      <c r="K2233" s="14" t="str">
        <f t="shared" ref="K2233:K2235" si="420">HYPERLINK("http://twitter.com/download/android","Twitter for Android")</f>
        <v>Twitter for Android</v>
      </c>
      <c r="L2233" s="13">
        <v>38</v>
      </c>
      <c r="M2233" s="13">
        <v>13</v>
      </c>
      <c r="N2233" s="13">
        <v>0</v>
      </c>
      <c r="O2233" s="15"/>
      <c r="P2233" s="6">
        <v>42928.446562500001</v>
      </c>
      <c r="Q2233" s="12"/>
      <c r="R2233" s="16" t="s">
        <v>1112</v>
      </c>
      <c r="S2233" s="12"/>
      <c r="T2233" s="12"/>
      <c r="U2233" s="10" t="str">
        <f>HYPERLINK("https://pbs.twimg.com/profile_images/1060559817562120193/Be0eDFAi.jpg","View")</f>
        <v>View</v>
      </c>
    </row>
    <row r="2234" spans="1:21" ht="30.6">
      <c r="A2234" s="6">
        <v>43422.239421296297</v>
      </c>
      <c r="B2234" s="7" t="str">
        <f>HYPERLINK("https://twitter.com/AnaWeasley__","@AnaWeasley__")</f>
        <v>@AnaWeasley__</v>
      </c>
      <c r="C2234" s="8" t="s">
        <v>7621</v>
      </c>
      <c r="D2234" s="9" t="s">
        <v>7622</v>
      </c>
      <c r="E2234" s="10" t="str">
        <f>HYPERLINK("https://twitter.com/AnaWeasley__/status/1064152437131550725","1064152437131550725")</f>
        <v>1064152437131550725</v>
      </c>
      <c r="F2234" s="12"/>
      <c r="G2234" s="12"/>
      <c r="H2234" s="12"/>
      <c r="I2234" s="13">
        <v>0</v>
      </c>
      <c r="J2234" s="13">
        <v>0</v>
      </c>
      <c r="K2234" s="14" t="str">
        <f t="shared" si="420"/>
        <v>Twitter for Android</v>
      </c>
      <c r="L2234" s="13">
        <v>198</v>
      </c>
      <c r="M2234" s="13">
        <v>396</v>
      </c>
      <c r="N2234" s="13">
        <v>3</v>
      </c>
      <c r="O2234" s="15"/>
      <c r="P2234" s="6">
        <v>40401.168379629627</v>
      </c>
      <c r="Q2234" s="17" t="s">
        <v>7212</v>
      </c>
      <c r="R2234" s="16" t="s">
        <v>7623</v>
      </c>
      <c r="S2234" s="12"/>
      <c r="T2234" s="12"/>
      <c r="U2234" s="10" t="str">
        <f>HYPERLINK("https://pbs.twimg.com/profile_images/1047420990395994112/p0n0YwRN.jpg","View")</f>
        <v>View</v>
      </c>
    </row>
    <row r="2235" spans="1:21" ht="40.799999999999997">
      <c r="A2235" s="6">
        <v>43422.236851851849</v>
      </c>
      <c r="B2235" s="7" t="str">
        <f>HYPERLINK("https://twitter.com/MarWarcraft","@MarWarcraft")</f>
        <v>@MarWarcraft</v>
      </c>
      <c r="C2235" s="8" t="s">
        <v>7624</v>
      </c>
      <c r="D2235" s="9" t="s">
        <v>7625</v>
      </c>
      <c r="E2235" s="10" t="str">
        <f>HYPERLINK("https://twitter.com/MarWarcraft/status/1064151504783884288","1064151504783884288")</f>
        <v>1064151504783884288</v>
      </c>
      <c r="F2235" s="11" t="s">
        <v>4961</v>
      </c>
      <c r="G2235" s="12"/>
      <c r="H2235" s="12"/>
      <c r="I2235" s="13">
        <v>0</v>
      </c>
      <c r="J2235" s="13">
        <v>0</v>
      </c>
      <c r="K2235" s="14" t="str">
        <f t="shared" si="420"/>
        <v>Twitter for Android</v>
      </c>
      <c r="L2235" s="13">
        <v>735</v>
      </c>
      <c r="M2235" s="13">
        <v>730</v>
      </c>
      <c r="N2235" s="13">
        <v>0</v>
      </c>
      <c r="O2235" s="15"/>
      <c r="P2235" s="6">
        <v>43014.632071759261</v>
      </c>
      <c r="Q2235" s="17" t="s">
        <v>7626</v>
      </c>
      <c r="R2235" s="16" t="s">
        <v>7627</v>
      </c>
      <c r="S2235" s="12"/>
      <c r="T2235" s="12"/>
      <c r="U2235" s="10" t="str">
        <f>HYPERLINK("https://pbs.twimg.com/profile_images/1065282652780019713/Ha0o7h-j.jpg","View")</f>
        <v>View</v>
      </c>
    </row>
    <row r="2236" spans="1:21" ht="20.399999999999999">
      <c r="A2236" s="6">
        <v>43422.235682870371</v>
      </c>
      <c r="B2236" s="7" t="str">
        <f>HYPERLINK("https://twitter.com/MamenBond","@MamenBond")</f>
        <v>@MamenBond</v>
      </c>
      <c r="C2236" s="8" t="s">
        <v>7628</v>
      </c>
      <c r="D2236" s="9" t="s">
        <v>6185</v>
      </c>
      <c r="E2236" s="10" t="str">
        <f>HYPERLINK("https://twitter.com/MamenBond/status/1064151082807500807","1064151082807500807")</f>
        <v>1064151082807500807</v>
      </c>
      <c r="F2236" s="11" t="s">
        <v>5997</v>
      </c>
      <c r="G2236" s="12"/>
      <c r="H2236" s="12"/>
      <c r="I2236" s="13">
        <v>0</v>
      </c>
      <c r="J2236" s="13">
        <v>0</v>
      </c>
      <c r="K2236" s="14" t="str">
        <f t="shared" ref="K2236:K2238" si="421">HYPERLINK("http://twitter.com","Twitter Web Client")</f>
        <v>Twitter Web Client</v>
      </c>
      <c r="L2236" s="13">
        <v>1606</v>
      </c>
      <c r="M2236" s="13">
        <v>2929</v>
      </c>
      <c r="N2236" s="13">
        <v>38</v>
      </c>
      <c r="O2236" s="15"/>
      <c r="P2236" s="6">
        <v>40851.544166666667</v>
      </c>
      <c r="Q2236" s="17" t="s">
        <v>7629</v>
      </c>
      <c r="R2236" s="16" t="s">
        <v>7630</v>
      </c>
      <c r="S2236" s="12"/>
      <c r="T2236" s="12"/>
      <c r="U2236" s="10" t="str">
        <f>HYPERLINK("https://pbs.twimg.com/profile_images/974568600467058688/KT32iPcw.jpg","View")</f>
        <v>View</v>
      </c>
    </row>
    <row r="2237" spans="1:21" ht="51">
      <c r="A2237" s="6">
        <v>43422.23537037037</v>
      </c>
      <c r="B2237" s="7" t="str">
        <f>HYPERLINK("https://twitter.com/Noticias24horas","@Noticias24horas")</f>
        <v>@Noticias24horas</v>
      </c>
      <c r="C2237" s="8" t="s">
        <v>7631</v>
      </c>
      <c r="D2237" s="9" t="s">
        <v>7632</v>
      </c>
      <c r="E2237" s="10" t="str">
        <f>HYPERLINK("https://twitter.com/Noticias24horas/status/1064150969037008898","1064150969037008898")</f>
        <v>1064150969037008898</v>
      </c>
      <c r="F2237" s="11" t="s">
        <v>7633</v>
      </c>
      <c r="G2237" s="12"/>
      <c r="H2237" s="12"/>
      <c r="I2237" s="13">
        <v>0</v>
      </c>
      <c r="J2237" s="13">
        <v>0</v>
      </c>
      <c r="K2237" s="14" t="str">
        <f t="shared" si="421"/>
        <v>Twitter Web Client</v>
      </c>
      <c r="L2237" s="13">
        <v>47981</v>
      </c>
      <c r="M2237" s="13">
        <v>14451</v>
      </c>
      <c r="N2237" s="13">
        <v>623</v>
      </c>
      <c r="O2237" s="15"/>
      <c r="P2237" s="6">
        <v>39798.786666666667</v>
      </c>
      <c r="Q2237" s="17" t="s">
        <v>7634</v>
      </c>
      <c r="R2237" s="16" t="s">
        <v>7635</v>
      </c>
      <c r="S2237" s="11" t="s">
        <v>7636</v>
      </c>
      <c r="T2237" s="12"/>
      <c r="U2237" s="10" t="str">
        <f>HYPERLINK("https://pbs.twimg.com/profile_images/739091131011567616/GfKL7dJ1.jpg","View")</f>
        <v>View</v>
      </c>
    </row>
    <row r="2238" spans="1:21" ht="20.399999999999999">
      <c r="A2238" s="6">
        <v>43422.23510416667</v>
      </c>
      <c r="B2238" s="7" t="str">
        <f>HYPERLINK("https://twitter.com/salvadornos1","@salvadornos1")</f>
        <v>@salvadornos1</v>
      </c>
      <c r="C2238" s="8" t="s">
        <v>7637</v>
      </c>
      <c r="D2238" s="9" t="s">
        <v>5246</v>
      </c>
      <c r="E2238" s="10" t="str">
        <f>HYPERLINK("https://twitter.com/salvadornos1/status/1064150873926967296","1064150873926967296")</f>
        <v>1064150873926967296</v>
      </c>
      <c r="F2238" s="11" t="s">
        <v>4961</v>
      </c>
      <c r="G2238" s="12"/>
      <c r="H2238" s="12"/>
      <c r="I2238" s="13">
        <v>1</v>
      </c>
      <c r="J2238" s="13">
        <v>1</v>
      </c>
      <c r="K2238" s="14" t="str">
        <f t="shared" si="421"/>
        <v>Twitter Web Client</v>
      </c>
      <c r="L2238" s="13">
        <v>2749</v>
      </c>
      <c r="M2238" s="13">
        <v>3215</v>
      </c>
      <c r="N2238" s="13">
        <v>9</v>
      </c>
      <c r="O2238" s="15"/>
      <c r="P2238" s="6">
        <v>41506.334166666667</v>
      </c>
      <c r="Q2238" s="17" t="s">
        <v>187</v>
      </c>
      <c r="R2238" s="16" t="s">
        <v>7638</v>
      </c>
      <c r="S2238" s="12"/>
      <c r="T2238" s="12"/>
      <c r="U2238" s="10" t="str">
        <f>HYPERLINK("https://pbs.twimg.com/profile_images/636924858941767680/deNHr40x.jpg","View")</f>
        <v>View</v>
      </c>
    </row>
    <row r="2239" spans="1:21" ht="13.2">
      <c r="A2239" s="6">
        <v>43422.234988425931</v>
      </c>
      <c r="B2239" s="7" t="str">
        <f>HYPERLINK("https://twitter.com/ParabeIIum_","@ParabeIIum_")</f>
        <v>@ParabeIIum_</v>
      </c>
      <c r="C2239" s="8" t="s">
        <v>7639</v>
      </c>
      <c r="D2239" s="9" t="s">
        <v>6980</v>
      </c>
      <c r="E2239" s="10" t="str">
        <f>HYPERLINK("https://twitter.com/ParabeIIum_/status/1064150831124152321","1064150831124152321")</f>
        <v>1064150831124152321</v>
      </c>
      <c r="F2239" s="11" t="s">
        <v>7641</v>
      </c>
      <c r="G2239" s="12"/>
      <c r="H2239" s="12"/>
      <c r="I2239" s="13">
        <v>0</v>
      </c>
      <c r="J2239" s="13">
        <v>0</v>
      </c>
      <c r="K2239" s="14" t="str">
        <f>HYPERLINK("https://ifttt.com","IFTTT")</f>
        <v>IFTTT</v>
      </c>
      <c r="L2239" s="13">
        <v>788</v>
      </c>
      <c r="M2239" s="13">
        <v>672</v>
      </c>
      <c r="N2239" s="13">
        <v>2</v>
      </c>
      <c r="O2239" s="15"/>
      <c r="P2239" s="6">
        <v>43097.512928240743</v>
      </c>
      <c r="Q2239" s="12"/>
      <c r="R2239" s="18"/>
      <c r="S2239" s="12"/>
      <c r="T2239" s="12"/>
      <c r="U2239" s="10" t="str">
        <f>HYPERLINK("https://pbs.twimg.com/profile_images/958694961800794112/0LFa9Crx.jpg","View")</f>
        <v>View</v>
      </c>
    </row>
    <row r="2240" spans="1:21" ht="30.6">
      <c r="A2240" s="6">
        <v>43422.234155092592</v>
      </c>
      <c r="B2240" s="7" t="str">
        <f>HYPERLINK("https://twitter.com/11plr","@11plr")</f>
        <v>@11plr</v>
      </c>
      <c r="C2240" s="8" t="s">
        <v>7642</v>
      </c>
      <c r="D2240" s="9" t="s">
        <v>7643</v>
      </c>
      <c r="E2240" s="10" t="str">
        <f>HYPERLINK("https://twitter.com/11plr/status/1064150527464886272","1064150527464886272")</f>
        <v>1064150527464886272</v>
      </c>
      <c r="F2240" s="17" t="s">
        <v>7644</v>
      </c>
      <c r="G2240" s="12"/>
      <c r="H2240" s="12"/>
      <c r="I2240" s="13">
        <v>0</v>
      </c>
      <c r="J2240" s="13">
        <v>0</v>
      </c>
      <c r="K2240" s="14" t="str">
        <f t="shared" ref="K2240:K2241" si="422">HYPERLINK("http://twitter.com","Twitter Web Client")</f>
        <v>Twitter Web Client</v>
      </c>
      <c r="L2240" s="13">
        <v>423</v>
      </c>
      <c r="M2240" s="13">
        <v>1257</v>
      </c>
      <c r="N2240" s="13">
        <v>29</v>
      </c>
      <c r="O2240" s="15"/>
      <c r="P2240" s="6">
        <v>39994.445254629631</v>
      </c>
      <c r="Q2240" s="12"/>
      <c r="R2240" s="16" t="s">
        <v>7645</v>
      </c>
      <c r="S2240" s="11" t="s">
        <v>7646</v>
      </c>
      <c r="T2240" s="12"/>
      <c r="U2240" s="10" t="str">
        <f>HYPERLINK("https://pbs.twimg.com/profile_images/622507144424914944/vWk8mG16.jpg","View")</f>
        <v>View</v>
      </c>
    </row>
    <row r="2241" spans="1:21" ht="40.799999999999997">
      <c r="A2241" s="6">
        <v>43422.232881944445</v>
      </c>
      <c r="B2241" s="7" t="str">
        <f>HYPERLINK("https://twitter.com/Windfall__","@Windfall__")</f>
        <v>@Windfall__</v>
      </c>
      <c r="C2241" s="8" t="s">
        <v>7647</v>
      </c>
      <c r="D2241" s="9" t="s">
        <v>7648</v>
      </c>
      <c r="E2241" s="10" t="str">
        <f>HYPERLINK("https://twitter.com/Windfall__/status/1064150067408527360","1064150067408527360")</f>
        <v>1064150067408527360</v>
      </c>
      <c r="F2241" s="12"/>
      <c r="G2241" s="12"/>
      <c r="H2241" s="12"/>
      <c r="I2241" s="13">
        <v>0</v>
      </c>
      <c r="J2241" s="13">
        <v>0</v>
      </c>
      <c r="K2241" s="14" t="str">
        <f t="shared" si="422"/>
        <v>Twitter Web Client</v>
      </c>
      <c r="L2241" s="13">
        <v>579</v>
      </c>
      <c r="M2241" s="13">
        <v>480</v>
      </c>
      <c r="N2241" s="13">
        <v>9</v>
      </c>
      <c r="O2241" s="15"/>
      <c r="P2241" s="6">
        <v>41959.161261574074</v>
      </c>
      <c r="Q2241" s="17" t="s">
        <v>830</v>
      </c>
      <c r="R2241" s="16" t="s">
        <v>7649</v>
      </c>
      <c r="S2241" s="11" t="s">
        <v>7650</v>
      </c>
      <c r="T2241" s="12"/>
      <c r="U2241" s="10" t="str">
        <f>HYPERLINK("https://pbs.twimg.com/profile_images/968065984966877189/8Jl4XeQB.jpg","View")</f>
        <v>View</v>
      </c>
    </row>
    <row r="2242" spans="1:21" ht="61.2">
      <c r="A2242" s="6">
        <v>43422.232245370367</v>
      </c>
      <c r="B2242" s="7" t="str">
        <f>HYPERLINK("https://twitter.com/rulfyq","@rulfyq")</f>
        <v>@rulfyq</v>
      </c>
      <c r="C2242" s="8" t="s">
        <v>7651</v>
      </c>
      <c r="D2242" s="9" t="s">
        <v>7652</v>
      </c>
      <c r="E2242" s="10" t="str">
        <f>HYPERLINK("https://twitter.com/rulfyq/status/1064149834159017985","1064149834159017985")</f>
        <v>1064149834159017985</v>
      </c>
      <c r="F2242" s="17" t="s">
        <v>7653</v>
      </c>
      <c r="G2242" s="12"/>
      <c r="H2242" s="12"/>
      <c r="I2242" s="13">
        <v>2</v>
      </c>
      <c r="J2242" s="13">
        <v>2</v>
      </c>
      <c r="K2242" s="14" t="str">
        <f t="shared" ref="K2242:K2243" si="423">HYPERLINK("http://twitter.com/download/android","Twitter for Android")</f>
        <v>Twitter for Android</v>
      </c>
      <c r="L2242" s="13">
        <v>398</v>
      </c>
      <c r="M2242" s="13">
        <v>1144</v>
      </c>
      <c r="N2242" s="13">
        <v>14</v>
      </c>
      <c r="O2242" s="15"/>
      <c r="P2242" s="6">
        <v>40754.08898148148</v>
      </c>
      <c r="Q2242" s="12"/>
      <c r="R2242" s="18"/>
      <c r="S2242" s="12"/>
      <c r="T2242" s="12"/>
      <c r="U2242" s="10" t="str">
        <f>HYPERLINK("https://pbs.twimg.com/profile_images/3515624777/36c80527fef3300f794c08957c5ddf3a.jpeg","View")</f>
        <v>View</v>
      </c>
    </row>
    <row r="2243" spans="1:21" ht="30.6">
      <c r="A2243" s="6">
        <v>43422.232164351852</v>
      </c>
      <c r="B2243" s="7" t="str">
        <f>HYPERLINK("https://twitter.com/odalbat","@odalbat")</f>
        <v>@odalbat</v>
      </c>
      <c r="C2243" s="8" t="s">
        <v>7654</v>
      </c>
      <c r="D2243" s="9" t="s">
        <v>7655</v>
      </c>
      <c r="E2243" s="10" t="str">
        <f>HYPERLINK("https://twitter.com/odalbat/status/1064149807999184896","1064149807999184896")</f>
        <v>1064149807999184896</v>
      </c>
      <c r="F2243" s="11" t="s">
        <v>5715</v>
      </c>
      <c r="G2243" s="12"/>
      <c r="H2243" s="12"/>
      <c r="I2243" s="13">
        <v>0</v>
      </c>
      <c r="J2243" s="13">
        <v>0</v>
      </c>
      <c r="K2243" s="14" t="str">
        <f t="shared" si="423"/>
        <v>Twitter for Android</v>
      </c>
      <c r="L2243" s="13">
        <v>200</v>
      </c>
      <c r="M2243" s="13">
        <v>25</v>
      </c>
      <c r="N2243" s="13">
        <v>1</v>
      </c>
      <c r="O2243" s="15"/>
      <c r="P2243" s="6">
        <v>43099.033414351856</v>
      </c>
      <c r="Q2243" s="12"/>
      <c r="R2243" s="16" t="s">
        <v>7656</v>
      </c>
      <c r="S2243" s="12"/>
      <c r="T2243" s="12"/>
      <c r="U2243" s="10" t="str">
        <f>HYPERLINK("https://pbs.twimg.com/profile_images/947043634746183680/OrnF09sW.jpg","View")</f>
        <v>View</v>
      </c>
    </row>
    <row r="2244" spans="1:21" ht="30.6">
      <c r="A2244" s="6">
        <v>43422.232118055559</v>
      </c>
      <c r="B2244" s="7" t="str">
        <f>HYPERLINK("https://twitter.com/oskarmatute","@oskarmatute")</f>
        <v>@oskarmatute</v>
      </c>
      <c r="C2244" s="8" t="s">
        <v>7657</v>
      </c>
      <c r="D2244" s="9" t="s">
        <v>7658</v>
      </c>
      <c r="E2244" s="10" t="str">
        <f>HYPERLINK("https://twitter.com/oskarmatute/status/1064149790383067138","1064149790383067138")</f>
        <v>1064149790383067138</v>
      </c>
      <c r="F2244" s="11" t="s">
        <v>4948</v>
      </c>
      <c r="G2244" s="12"/>
      <c r="H2244" s="12"/>
      <c r="I2244" s="13">
        <v>48</v>
      </c>
      <c r="J2244" s="13">
        <v>67</v>
      </c>
      <c r="K2244" s="14" t="str">
        <f>HYPERLINK("http://twitter.com/download/iphone","Twitter for iPhone")</f>
        <v>Twitter for iPhone</v>
      </c>
      <c r="L2244" s="13">
        <v>15262</v>
      </c>
      <c r="M2244" s="13">
        <v>4092</v>
      </c>
      <c r="N2244" s="13">
        <v>221</v>
      </c>
      <c r="O2244" s="19" t="s">
        <v>74</v>
      </c>
      <c r="P2244" s="6">
        <v>39902.400127314817</v>
      </c>
      <c r="Q2244" s="17" t="s">
        <v>87</v>
      </c>
      <c r="R2244" s="16" t="s">
        <v>7659</v>
      </c>
      <c r="S2244" s="11" t="s">
        <v>7660</v>
      </c>
      <c r="T2244" s="12"/>
      <c r="U2244" s="10" t="str">
        <f>HYPERLINK("https://pbs.twimg.com/profile_images/1055400524529483776/uIbMw7_R.jpg","View")</f>
        <v>View</v>
      </c>
    </row>
    <row r="2245" spans="1:21" ht="40.799999999999997">
      <c r="A2245" s="6">
        <v>43422.231956018513</v>
      </c>
      <c r="B2245" s="7" t="str">
        <f>HYPERLINK("https://twitter.com/pateandoespana","@pateandoespana")</f>
        <v>@pateandoespana</v>
      </c>
      <c r="C2245" s="8" t="s">
        <v>7661</v>
      </c>
      <c r="D2245" s="9" t="s">
        <v>7662</v>
      </c>
      <c r="E2245" s="10" t="str">
        <f>HYPERLINK("https://twitter.com/pateandoespana/status/1064149729347547136","1064149729347547136")</f>
        <v>1064149729347547136</v>
      </c>
      <c r="F2245" s="12"/>
      <c r="G2245" s="11" t="s">
        <v>7663</v>
      </c>
      <c r="H2245" s="12"/>
      <c r="I2245" s="13">
        <v>0</v>
      </c>
      <c r="J2245" s="13">
        <v>0</v>
      </c>
      <c r="K2245" s="14" t="str">
        <f>HYPERLINK("http://twitter.com","Twitter Web Client")</f>
        <v>Twitter Web Client</v>
      </c>
      <c r="L2245" s="13">
        <v>1448</v>
      </c>
      <c r="M2245" s="13">
        <v>905</v>
      </c>
      <c r="N2245" s="13">
        <v>20</v>
      </c>
      <c r="O2245" s="15"/>
      <c r="P2245" s="6">
        <v>40615.238703703704</v>
      </c>
      <c r="Q2245" s="17" t="s">
        <v>29</v>
      </c>
      <c r="R2245" s="16" t="s">
        <v>7664</v>
      </c>
      <c r="S2245" s="17" t="s">
        <v>7665</v>
      </c>
      <c r="T2245" s="12"/>
      <c r="U2245" s="10" t="str">
        <f>HYPERLINK("https://pbs.twimg.com/profile_images/473810188961464321/HmK1a7ux.jpeg","View")</f>
        <v>View</v>
      </c>
    </row>
    <row r="2246" spans="1:21" ht="20.399999999999999">
      <c r="A2246" s="6">
        <v>43422.231631944444</v>
      </c>
      <c r="B2246" s="7" t="str">
        <f>HYPERLINK("https://twitter.com/fancardini","@fancardini")</f>
        <v>@fancardini</v>
      </c>
      <c r="C2246" s="8" t="s">
        <v>7666</v>
      </c>
      <c r="D2246" s="9" t="s">
        <v>6641</v>
      </c>
      <c r="E2246" s="10" t="str">
        <f>HYPERLINK("https://twitter.com/fancardini/status/1064149612339126272","1064149612339126272")</f>
        <v>1064149612339126272</v>
      </c>
      <c r="F2246" s="11" t="s">
        <v>5715</v>
      </c>
      <c r="G2246" s="12"/>
      <c r="H2246" s="12"/>
      <c r="I2246" s="13">
        <v>0</v>
      </c>
      <c r="J2246" s="13">
        <v>0</v>
      </c>
      <c r="K2246" s="14" t="str">
        <f>HYPERLINK("http://twitter.com/download/android","Twitter for Android")</f>
        <v>Twitter for Android</v>
      </c>
      <c r="L2246" s="13">
        <v>436</v>
      </c>
      <c r="M2246" s="13">
        <v>624</v>
      </c>
      <c r="N2246" s="13">
        <v>5</v>
      </c>
      <c r="O2246" s="15"/>
      <c r="P2246" s="6">
        <v>40202.198425925926</v>
      </c>
      <c r="Q2246" s="17" t="s">
        <v>7667</v>
      </c>
      <c r="R2246" s="16" t="s">
        <v>7668</v>
      </c>
      <c r="S2246" s="11" t="s">
        <v>7669</v>
      </c>
      <c r="T2246" s="12"/>
      <c r="U2246" s="10" t="str">
        <f>HYPERLINK("https://pbs.twimg.com/profile_images/1633458944/Record_PENDONES_2.jpg","View")</f>
        <v>View</v>
      </c>
    </row>
    <row r="2247" spans="1:21" ht="40.799999999999997">
      <c r="A2247" s="6">
        <v>43422.231516203705</v>
      </c>
      <c r="B2247" s="7" t="str">
        <f>HYPERLINK("https://twitter.com/Simon_Gardner","@Simon_Gardner")</f>
        <v>@Simon_Gardner</v>
      </c>
      <c r="C2247" s="8" t="s">
        <v>7670</v>
      </c>
      <c r="D2247" s="9" t="s">
        <v>7671</v>
      </c>
      <c r="E2247" s="10" t="str">
        <f>HYPERLINK("https://twitter.com/Simon_Gardner/status/1064149569859129345","1064149569859129345")</f>
        <v>1064149569859129345</v>
      </c>
      <c r="F2247" s="11" t="s">
        <v>5715</v>
      </c>
      <c r="G2247" s="12"/>
      <c r="H2247" s="12"/>
      <c r="I2247" s="13">
        <v>1</v>
      </c>
      <c r="J2247" s="13">
        <v>1</v>
      </c>
      <c r="K2247" s="14" t="str">
        <f>HYPERLINK("http://twitter.com","Twitter Web Client")</f>
        <v>Twitter Web Client</v>
      </c>
      <c r="L2247" s="13">
        <v>1833</v>
      </c>
      <c r="M2247" s="13">
        <v>1655</v>
      </c>
      <c r="N2247" s="13">
        <v>68</v>
      </c>
      <c r="O2247" s="15"/>
      <c r="P2247" s="6">
        <v>39889.085381944446</v>
      </c>
      <c r="Q2247" s="12"/>
      <c r="R2247" s="16" t="s">
        <v>7672</v>
      </c>
      <c r="S2247" s="11" t="s">
        <v>7673</v>
      </c>
      <c r="T2247" s="12"/>
      <c r="U2247" s="10" t="str">
        <f>HYPERLINK("https://pbs.twimg.com/profile_images/945605461545570307/ALDIQnnu.jpg","View")</f>
        <v>View</v>
      </c>
    </row>
    <row r="2248" spans="1:21" ht="51">
      <c r="A2248" s="6">
        <v>43422.230694444443</v>
      </c>
      <c r="B2248" s="7" t="str">
        <f>HYPERLINK("https://twitter.com/robertoromerob4","@robertoromerob4")</f>
        <v>@robertoromerob4</v>
      </c>
      <c r="C2248" s="8" t="s">
        <v>7674</v>
      </c>
      <c r="D2248" s="9" t="s">
        <v>7675</v>
      </c>
      <c r="E2248" s="10" t="str">
        <f>HYPERLINK("https://twitter.com/robertoromerob4/status/1064149274341109760","1064149274341109760")</f>
        <v>1064149274341109760</v>
      </c>
      <c r="F2248" s="12"/>
      <c r="G2248" s="11" t="s">
        <v>7676</v>
      </c>
      <c r="H2248" s="12"/>
      <c r="I2248" s="13">
        <v>0</v>
      </c>
      <c r="J2248" s="13">
        <v>2</v>
      </c>
      <c r="K2248" s="14" t="str">
        <f>HYPERLINK("https://mobile.twitter.com","Twitter Lite")</f>
        <v>Twitter Lite</v>
      </c>
      <c r="L2248" s="13">
        <v>175</v>
      </c>
      <c r="M2248" s="13">
        <v>74</v>
      </c>
      <c r="N2248" s="13">
        <v>1</v>
      </c>
      <c r="O2248" s="15"/>
      <c r="P2248" s="6">
        <v>43341.133935185186</v>
      </c>
      <c r="Q2248" s="17" t="s">
        <v>203</v>
      </c>
      <c r="R2248" s="16" t="s">
        <v>7677</v>
      </c>
      <c r="S2248" s="12"/>
      <c r="T2248" s="12"/>
      <c r="U2248" s="10" t="str">
        <f>HYPERLINK("https://pbs.twimg.com/profile_images/1048671906407370752/F24CRlMc.jpg","View")</f>
        <v>View</v>
      </c>
    </row>
    <row r="2249" spans="1:21" ht="51">
      <c r="A2249" s="6">
        <v>43422.23064814815</v>
      </c>
      <c r="B2249" s="7" t="str">
        <f>HYPERLINK("https://twitter.com/JosCarlosJmnz","@JosCarlosJmnz")</f>
        <v>@JosCarlosJmnz</v>
      </c>
      <c r="C2249" s="8" t="s">
        <v>4086</v>
      </c>
      <c r="D2249" s="9" t="s">
        <v>7678</v>
      </c>
      <c r="E2249" s="10" t="str">
        <f>HYPERLINK("https://twitter.com/JosCarlosJmnz/status/1064149257547075584","1064149257547075584")</f>
        <v>1064149257547075584</v>
      </c>
      <c r="F2249" s="12"/>
      <c r="G2249" s="12"/>
      <c r="H2249" s="12"/>
      <c r="I2249" s="13">
        <v>0</v>
      </c>
      <c r="J2249" s="13">
        <v>0</v>
      </c>
      <c r="K2249" s="14" t="str">
        <f>HYPERLINK("http://twitter.com","Twitter Web Client")</f>
        <v>Twitter Web Client</v>
      </c>
      <c r="L2249" s="13">
        <v>143</v>
      </c>
      <c r="M2249" s="13">
        <v>500</v>
      </c>
      <c r="N2249" s="13">
        <v>1</v>
      </c>
      <c r="O2249" s="15"/>
      <c r="P2249" s="6">
        <v>40657.593923611115</v>
      </c>
      <c r="Q2249" s="12"/>
      <c r="R2249" s="16" t="s">
        <v>4088</v>
      </c>
      <c r="S2249" s="12"/>
      <c r="T2249" s="12"/>
      <c r="U2249" s="10" t="str">
        <f>HYPERLINK("https://pbs.twimg.com/profile_images/1932089001/CV0312__262x300_.jpg","View")</f>
        <v>View</v>
      </c>
    </row>
    <row r="2250" spans="1:21" ht="40.799999999999997">
      <c r="A2250" s="6">
        <v>43422.229791666672</v>
      </c>
      <c r="B2250" s="7" t="str">
        <f>HYPERLINK("https://twitter.com/Plumbio","@Plumbio")</f>
        <v>@Plumbio</v>
      </c>
      <c r="C2250" s="8" t="s">
        <v>7679</v>
      </c>
      <c r="D2250" s="9" t="s">
        <v>7680</v>
      </c>
      <c r="E2250" s="10" t="str">
        <f>HYPERLINK("https://twitter.com/Plumbio/status/1064148945927049217","1064148945927049217")</f>
        <v>1064148945927049217</v>
      </c>
      <c r="F2250" s="12"/>
      <c r="G2250" s="11" t="s">
        <v>7681</v>
      </c>
      <c r="H2250" s="12"/>
      <c r="I2250" s="13">
        <v>1</v>
      </c>
      <c r="J2250" s="13">
        <v>1</v>
      </c>
      <c r="K2250" s="14" t="str">
        <f>HYPERLINK("http://twitter.com/download/android","Twitter for Android")</f>
        <v>Twitter for Android</v>
      </c>
      <c r="L2250" s="13">
        <v>1317</v>
      </c>
      <c r="M2250" s="13">
        <v>847</v>
      </c>
      <c r="N2250" s="13">
        <v>64</v>
      </c>
      <c r="O2250" s="15"/>
      <c r="P2250" s="6">
        <v>40683.72997685185</v>
      </c>
      <c r="Q2250" s="17" t="s">
        <v>7682</v>
      </c>
      <c r="R2250" s="16" t="s">
        <v>7683</v>
      </c>
      <c r="S2250" s="12"/>
      <c r="T2250" s="12"/>
      <c r="U2250" s="10" t="str">
        <f>HYPERLINK("https://pbs.twimg.com/profile_images/1363639460/pu_o.jpg","View")</f>
        <v>View</v>
      </c>
    </row>
    <row r="2251" spans="1:21" ht="40.799999999999997">
      <c r="A2251" s="6">
        <v>43422.228854166664</v>
      </c>
      <c r="B2251" s="7" t="str">
        <f>HYPERLINK("https://twitter.com/f_martinezvidal","@f_martinezvidal")</f>
        <v>@f_martinezvidal</v>
      </c>
      <c r="C2251" s="8" t="s">
        <v>6404</v>
      </c>
      <c r="D2251" s="9" t="s">
        <v>7684</v>
      </c>
      <c r="E2251" s="10" t="str">
        <f>HYPERLINK("https://twitter.com/f_martinezvidal/status/1064148608570847234","1064148608570847234")</f>
        <v>1064148608570847234</v>
      </c>
      <c r="F2251" s="11" t="s">
        <v>5818</v>
      </c>
      <c r="G2251" s="12"/>
      <c r="H2251" s="12"/>
      <c r="I2251" s="13">
        <v>0</v>
      </c>
      <c r="J2251" s="13">
        <v>1</v>
      </c>
      <c r="K2251" s="14" t="str">
        <f>HYPERLINK("http://twitter.com/download/iphone","Twitter for iPhone")</f>
        <v>Twitter for iPhone</v>
      </c>
      <c r="L2251" s="13">
        <v>3407</v>
      </c>
      <c r="M2251" s="13">
        <v>3825</v>
      </c>
      <c r="N2251" s="13">
        <v>47</v>
      </c>
      <c r="O2251" s="15"/>
      <c r="P2251" s="6">
        <v>40716.082627314812</v>
      </c>
      <c r="Q2251" s="17" t="s">
        <v>6407</v>
      </c>
      <c r="R2251" s="16" t="s">
        <v>6408</v>
      </c>
      <c r="S2251" s="12"/>
      <c r="T2251" s="12"/>
      <c r="U2251" s="10" t="str">
        <f>HYPERLINK("https://pbs.twimg.com/profile_images/1418648762/IMG00042-20100508-1557.jpg","View")</f>
        <v>View</v>
      </c>
    </row>
    <row r="2252" spans="1:21" ht="20.399999999999999">
      <c r="A2252" s="6">
        <v>43422.228379629625</v>
      </c>
      <c r="B2252" s="7" t="str">
        <f>HYPERLINK("https://twitter.com/Amadeus510","@Amadeus510")</f>
        <v>@Amadeus510</v>
      </c>
      <c r="C2252" s="8" t="s">
        <v>7685</v>
      </c>
      <c r="D2252" s="9" t="s">
        <v>6185</v>
      </c>
      <c r="E2252" s="10" t="str">
        <f>HYPERLINK("https://twitter.com/Amadeus510/status/1064148435492835328","1064148435492835328")</f>
        <v>1064148435492835328</v>
      </c>
      <c r="F2252" s="11" t="s">
        <v>5997</v>
      </c>
      <c r="G2252" s="12"/>
      <c r="H2252" s="12"/>
      <c r="I2252" s="13">
        <v>0</v>
      </c>
      <c r="J2252" s="13">
        <v>0</v>
      </c>
      <c r="K2252" s="14" t="str">
        <f>HYPERLINK("http://twitter.com","Twitter Web Client")</f>
        <v>Twitter Web Client</v>
      </c>
      <c r="L2252" s="13">
        <v>1915</v>
      </c>
      <c r="M2252" s="13">
        <v>1880</v>
      </c>
      <c r="N2252" s="13">
        <v>44</v>
      </c>
      <c r="O2252" s="15"/>
      <c r="P2252" s="6">
        <v>40541.230624999997</v>
      </c>
      <c r="Q2252" s="17" t="s">
        <v>7686</v>
      </c>
      <c r="R2252" s="16" t="s">
        <v>7687</v>
      </c>
      <c r="S2252" s="12"/>
      <c r="T2252" s="12"/>
      <c r="U2252" s="10" t="str">
        <f>HYPERLINK("https://pbs.twimg.com/profile_images/974082850692784128/WJd1HStU.jpg","View")</f>
        <v>View</v>
      </c>
    </row>
    <row r="2253" spans="1:21" ht="20.399999999999999">
      <c r="A2253" s="6">
        <v>43422.227581018524</v>
      </c>
      <c r="B2253" s="7" t="str">
        <f>HYPERLINK("https://twitter.com/TrueNewsD","@TrueNewsD")</f>
        <v>@TrueNewsD</v>
      </c>
      <c r="C2253" s="8" t="s">
        <v>4666</v>
      </c>
      <c r="D2253" s="9" t="s">
        <v>7688</v>
      </c>
      <c r="E2253" s="10" t="str">
        <f>HYPERLINK("https://twitter.com/TrueNewsD/status/1064148145590784001","1064148145590784001")</f>
        <v>1064148145590784001</v>
      </c>
      <c r="F2253" s="11" t="s">
        <v>7689</v>
      </c>
      <c r="G2253" s="11" t="s">
        <v>7690</v>
      </c>
      <c r="H2253" s="12"/>
      <c r="I2253" s="13">
        <v>0</v>
      </c>
      <c r="J2253" s="13">
        <v>0</v>
      </c>
      <c r="K2253" s="14" t="str">
        <f>HYPERLINK("https://dlvrit.com/","dlvr.it")</f>
        <v>dlvr.it</v>
      </c>
      <c r="L2253" s="13">
        <v>12</v>
      </c>
      <c r="M2253" s="13">
        <v>55</v>
      </c>
      <c r="N2253" s="13">
        <v>0</v>
      </c>
      <c r="O2253" s="15"/>
      <c r="P2253" s="6">
        <v>43416.285659722227</v>
      </c>
      <c r="Q2253" s="17" t="s">
        <v>405</v>
      </c>
      <c r="R2253" s="16" t="s">
        <v>4669</v>
      </c>
      <c r="S2253" s="11" t="s">
        <v>4670</v>
      </c>
      <c r="T2253" s="12"/>
      <c r="U2253" s="10" t="str">
        <f>HYPERLINK("https://pbs.twimg.com/profile_images/1061997699287994369/C7oN19Jl.jpg","View")</f>
        <v>View</v>
      </c>
    </row>
    <row r="2254" spans="1:21" ht="40.799999999999997">
      <c r="A2254" s="6">
        <v>43422.226273148146</v>
      </c>
      <c r="B2254" s="7" t="str">
        <f>HYPERLINK("https://twitter.com/RobertoVegaRam2","@RobertoVegaRam2")</f>
        <v>@RobertoVegaRam2</v>
      </c>
      <c r="C2254" s="8" t="s">
        <v>7696</v>
      </c>
      <c r="D2254" s="9" t="s">
        <v>7697</v>
      </c>
      <c r="E2254" s="10" t="str">
        <f>HYPERLINK("https://twitter.com/RobertoVegaRam2/status/1064147671215218689","1064147671215218689")</f>
        <v>1064147671215218689</v>
      </c>
      <c r="F2254" s="12"/>
      <c r="G2254" s="12"/>
      <c r="H2254" s="12"/>
      <c r="I2254" s="13">
        <v>0</v>
      </c>
      <c r="J2254" s="13">
        <v>0</v>
      </c>
      <c r="K2254" s="14" t="str">
        <f>HYPERLINK("http://twitter.com/download/iphone","Twitter for iPhone")</f>
        <v>Twitter for iPhone</v>
      </c>
      <c r="L2254" s="13">
        <v>747</v>
      </c>
      <c r="M2254" s="13">
        <v>1135</v>
      </c>
      <c r="N2254" s="13">
        <v>12</v>
      </c>
      <c r="O2254" s="15"/>
      <c r="P2254" s="6">
        <v>42245.276863425926</v>
      </c>
      <c r="Q2254" s="12"/>
      <c r="R2254" s="16" t="s">
        <v>7698</v>
      </c>
      <c r="S2254" s="12"/>
      <c r="T2254" s="12"/>
      <c r="U2254" s="10" t="str">
        <f>HYPERLINK("https://pbs.twimg.com/profile_images/1048594441278296064/AZqx6N-C.jpg","View")</f>
        <v>View</v>
      </c>
    </row>
    <row r="2255" spans="1:21" ht="20.399999999999999">
      <c r="A2255" s="6">
        <v>43422.226238425923</v>
      </c>
      <c r="B2255" s="7" t="str">
        <f>HYPERLINK("https://twitter.com/ventilleroamori","@ventilleroamori")</f>
        <v>@ventilleroamori</v>
      </c>
      <c r="C2255" s="8" t="s">
        <v>6052</v>
      </c>
      <c r="D2255" s="9" t="s">
        <v>1940</v>
      </c>
      <c r="E2255" s="10" t="str">
        <f>HYPERLINK("https://twitter.com/ventilleroamori/status/1064147659928322048","1064147659928322048")</f>
        <v>1064147659928322048</v>
      </c>
      <c r="F2255" s="11" t="s">
        <v>7699</v>
      </c>
      <c r="G2255" s="12"/>
      <c r="H2255" s="12"/>
      <c r="I2255" s="13">
        <v>0</v>
      </c>
      <c r="J2255" s="13">
        <v>0</v>
      </c>
      <c r="K2255" s="14" t="str">
        <f t="shared" ref="K2255:K2256" si="424">HYPERLINK("http://www.facebook.com/twitter","Facebook")</f>
        <v>Facebook</v>
      </c>
      <c r="L2255" s="13">
        <v>182</v>
      </c>
      <c r="M2255" s="13">
        <v>616</v>
      </c>
      <c r="N2255" s="13">
        <v>5</v>
      </c>
      <c r="O2255" s="15"/>
      <c r="P2255" s="6">
        <v>41520.392291666663</v>
      </c>
      <c r="Q2255" s="17" t="s">
        <v>6053</v>
      </c>
      <c r="R2255" s="16" t="s">
        <v>6054</v>
      </c>
      <c r="S2255" s="12"/>
      <c r="T2255" s="12"/>
      <c r="U2255" s="10" t="str">
        <f>HYPERLINK("https://pbs.twimg.com/profile_images/976735245448998913/naExoQUY.jpg","View")</f>
        <v>View</v>
      </c>
    </row>
    <row r="2256" spans="1:21" ht="40.799999999999997">
      <c r="A2256" s="6">
        <v>43422.226134259261</v>
      </c>
      <c r="B2256" s="7" t="str">
        <f>HYPERLINK("https://twitter.com/rajevip8","@rajevip8")</f>
        <v>@rajevip8</v>
      </c>
      <c r="C2256" s="8" t="s">
        <v>7700</v>
      </c>
      <c r="D2256" s="9" t="s">
        <v>7701</v>
      </c>
      <c r="E2256" s="10" t="str">
        <f>HYPERLINK("https://twitter.com/rajevip8/status/1064147623140106240","1064147623140106240")</f>
        <v>1064147623140106240</v>
      </c>
      <c r="F2256" s="11" t="s">
        <v>5997</v>
      </c>
      <c r="G2256" s="12"/>
      <c r="H2256" s="12"/>
      <c r="I2256" s="13">
        <v>0</v>
      </c>
      <c r="J2256" s="13">
        <v>0</v>
      </c>
      <c r="K2256" s="14" t="str">
        <f t="shared" si="424"/>
        <v>Facebook</v>
      </c>
      <c r="L2256" s="13">
        <v>737</v>
      </c>
      <c r="M2256" s="13">
        <v>1081</v>
      </c>
      <c r="N2256" s="13">
        <v>16</v>
      </c>
      <c r="O2256" s="15"/>
      <c r="P2256" s="6">
        <v>41053.432083333333</v>
      </c>
      <c r="Q2256" s="17" t="s">
        <v>1194</v>
      </c>
      <c r="R2256" s="16" t="s">
        <v>7702</v>
      </c>
      <c r="S2256" s="11" t="s">
        <v>7703</v>
      </c>
      <c r="T2256" s="12"/>
      <c r="U2256" s="10" t="str">
        <f>HYPERLINK("https://pbs.twimg.com/profile_images/798603942892441600/rroBkucc.jpg","View")</f>
        <v>View</v>
      </c>
    </row>
    <row r="2257" spans="1:21" ht="30.6">
      <c r="A2257" s="6">
        <v>43422.225960648153</v>
      </c>
      <c r="B2257" s="7" t="str">
        <f>HYPERLINK("https://twitter.com/Tarantonio7","@Tarantonio7")</f>
        <v>@Tarantonio7</v>
      </c>
      <c r="C2257" s="8" t="s">
        <v>7704</v>
      </c>
      <c r="D2257" s="9" t="s">
        <v>7705</v>
      </c>
      <c r="E2257" s="10" t="str">
        <f>HYPERLINK("https://twitter.com/Tarantonio7/status/1064147558040248320","1064147558040248320")</f>
        <v>1064147558040248320</v>
      </c>
      <c r="F2257" s="12"/>
      <c r="G2257" s="12"/>
      <c r="H2257" s="12"/>
      <c r="I2257" s="13">
        <v>0</v>
      </c>
      <c r="J2257" s="13">
        <v>3</v>
      </c>
      <c r="K2257" s="14" t="str">
        <f>HYPERLINK("http://twitter.com/download/android","Twitter for Android")</f>
        <v>Twitter for Android</v>
      </c>
      <c r="L2257" s="13">
        <v>49</v>
      </c>
      <c r="M2257" s="13">
        <v>128</v>
      </c>
      <c r="N2257" s="13">
        <v>0</v>
      </c>
      <c r="O2257" s="15"/>
      <c r="P2257" s="6">
        <v>43312.175937499997</v>
      </c>
      <c r="Q2257" s="17" t="s">
        <v>1858</v>
      </c>
      <c r="R2257" s="16" t="s">
        <v>7708</v>
      </c>
      <c r="S2257" s="12"/>
      <c r="T2257" s="12"/>
      <c r="U2257" s="10" t="str">
        <f>HYPERLINK("https://pbs.twimg.com/profile_images/1024253682857246721/Ycc2oBoS.jpg","View")</f>
        <v>View</v>
      </c>
    </row>
    <row r="2258" spans="1:21" ht="51">
      <c r="A2258" s="6">
        <v>43422.225601851853</v>
      </c>
      <c r="B2258" s="7" t="str">
        <f>HYPERLINK("https://twitter.com/JMalinowskiR","@JMalinowskiR")</f>
        <v>@JMalinowskiR</v>
      </c>
      <c r="C2258" s="8" t="s">
        <v>7709</v>
      </c>
      <c r="D2258" s="9" t="s">
        <v>7710</v>
      </c>
      <c r="E2258" s="10" t="str">
        <f>HYPERLINK("https://twitter.com/JMalinowskiR/status/1064147426636906497","1064147426636906497")</f>
        <v>1064147426636906497</v>
      </c>
      <c r="F2258" s="11" t="s">
        <v>4961</v>
      </c>
      <c r="G2258" s="12"/>
      <c r="H2258" s="12"/>
      <c r="I2258" s="13">
        <v>0</v>
      </c>
      <c r="J2258" s="13">
        <v>0</v>
      </c>
      <c r="K2258" s="14" t="str">
        <f>HYPERLINK("http://twitter.com/#!/download/ipad","Twitter for iPad")</f>
        <v>Twitter for iPad</v>
      </c>
      <c r="L2258" s="13">
        <v>1576</v>
      </c>
      <c r="M2258" s="13">
        <v>2178</v>
      </c>
      <c r="N2258" s="13">
        <v>88</v>
      </c>
      <c r="O2258" s="15"/>
      <c r="P2258" s="6">
        <v>40811.050682870373</v>
      </c>
      <c r="Q2258" s="12"/>
      <c r="R2258" s="16" t="s">
        <v>7711</v>
      </c>
      <c r="S2258" s="11" t="s">
        <v>7712</v>
      </c>
      <c r="T2258" s="12"/>
      <c r="U2258" s="10" t="str">
        <f>HYPERLINK("https://pbs.twimg.com/profile_images/976390488541597696/BGNHS0bM.jpg","View")</f>
        <v>View</v>
      </c>
    </row>
    <row r="2259" spans="1:21" ht="30.6">
      <c r="A2259" s="6">
        <v>43422.225497685184</v>
      </c>
      <c r="B2259" s="7" t="str">
        <f>HYPERLINK("https://twitter.com/mcyava","@mcyava")</f>
        <v>@mcyava</v>
      </c>
      <c r="C2259" s="8" t="s">
        <v>7713</v>
      </c>
      <c r="D2259" s="9" t="s">
        <v>7714</v>
      </c>
      <c r="E2259" s="10" t="str">
        <f>HYPERLINK("https://twitter.com/mcyava/status/1064147392252059650","1064147392252059650")</f>
        <v>1064147392252059650</v>
      </c>
      <c r="F2259" s="11" t="s">
        <v>5715</v>
      </c>
      <c r="G2259" s="12"/>
      <c r="H2259" s="12"/>
      <c r="I2259" s="13">
        <v>23</v>
      </c>
      <c r="J2259" s="13">
        <v>21</v>
      </c>
      <c r="K2259" s="14" t="str">
        <f t="shared" ref="K2259:K2260" si="425">HYPERLINK("http://twitter.com/download/android","Twitter for Android")</f>
        <v>Twitter for Android</v>
      </c>
      <c r="L2259" s="13">
        <v>16383</v>
      </c>
      <c r="M2259" s="13">
        <v>12698</v>
      </c>
      <c r="N2259" s="13">
        <v>88</v>
      </c>
      <c r="O2259" s="15"/>
      <c r="P2259" s="6">
        <v>40819.065150462964</v>
      </c>
      <c r="Q2259" s="17" t="s">
        <v>29</v>
      </c>
      <c r="R2259" s="16" t="s">
        <v>7715</v>
      </c>
      <c r="S2259" s="12"/>
      <c r="T2259" s="12"/>
      <c r="U2259" s="10" t="str">
        <f>HYPERLINK("https://pbs.twimg.com/profile_images/957202578210738176/msS95mss.jpg","View")</f>
        <v>View</v>
      </c>
    </row>
    <row r="2260" spans="1:21" ht="20.399999999999999">
      <c r="A2260" s="6">
        <v>43422.224629629629</v>
      </c>
      <c r="B2260" s="7" t="str">
        <f>HYPERLINK("https://twitter.com/juanmalamet","@juanmalamet")</f>
        <v>@juanmalamet</v>
      </c>
      <c r="C2260" s="8" t="s">
        <v>4454</v>
      </c>
      <c r="D2260" s="9" t="s">
        <v>6641</v>
      </c>
      <c r="E2260" s="10" t="str">
        <f>HYPERLINK("https://twitter.com/juanmalamet/status/1064147078169993216","1064147078169993216")</f>
        <v>1064147078169993216</v>
      </c>
      <c r="F2260" s="11" t="s">
        <v>5715</v>
      </c>
      <c r="G2260" s="12"/>
      <c r="H2260" s="12"/>
      <c r="I2260" s="13">
        <v>3</v>
      </c>
      <c r="J2260" s="13">
        <v>8</v>
      </c>
      <c r="K2260" s="14" t="str">
        <f t="shared" si="425"/>
        <v>Twitter for Android</v>
      </c>
      <c r="L2260" s="13">
        <v>5010</v>
      </c>
      <c r="M2260" s="13">
        <v>1756</v>
      </c>
      <c r="N2260" s="13">
        <v>151</v>
      </c>
      <c r="O2260" s="15"/>
      <c r="P2260" s="6">
        <v>40417.435729166667</v>
      </c>
      <c r="Q2260" s="17" t="s">
        <v>4456</v>
      </c>
      <c r="R2260" s="16" t="s">
        <v>4457</v>
      </c>
      <c r="S2260" s="12"/>
      <c r="T2260" s="12"/>
      <c r="U2260" s="10" t="str">
        <f>HYPERLINK("https://pbs.twimg.com/profile_images/1038932595508240384/Cdfn4Nk8.jpg","View")</f>
        <v>View</v>
      </c>
    </row>
    <row r="2261" spans="1:21" ht="13.2">
      <c r="A2261" s="6">
        <v>43422.223773148144</v>
      </c>
      <c r="B2261" s="7" t="str">
        <f>HYPERLINK("https://twitter.com/RadioRute","@RadioRute")</f>
        <v>@RadioRute</v>
      </c>
      <c r="C2261" s="8" t="s">
        <v>7716</v>
      </c>
      <c r="D2261" s="9" t="s">
        <v>7717</v>
      </c>
      <c r="E2261" s="10" t="str">
        <f>HYPERLINK("https://twitter.com/RadioRute/status/1064146766260514816","1064146766260514816")</f>
        <v>1064146766260514816</v>
      </c>
      <c r="F2261" s="11" t="s">
        <v>7718</v>
      </c>
      <c r="G2261" s="12"/>
      <c r="H2261" s="12"/>
      <c r="I2261" s="13">
        <v>0</v>
      </c>
      <c r="J2261" s="13">
        <v>1</v>
      </c>
      <c r="K2261" s="14" t="str">
        <f>HYPERLINK("http://www.facebook.com/twitter","Facebook")</f>
        <v>Facebook</v>
      </c>
      <c r="L2261" s="13">
        <v>846</v>
      </c>
      <c r="M2261" s="13">
        <v>35</v>
      </c>
      <c r="N2261" s="13">
        <v>15</v>
      </c>
      <c r="O2261" s="15"/>
      <c r="P2261" s="6">
        <v>40530.396631944444</v>
      </c>
      <c r="Q2261" s="17" t="s">
        <v>7719</v>
      </c>
      <c r="R2261" s="16" t="s">
        <v>7720</v>
      </c>
      <c r="S2261" s="11" t="s">
        <v>7721</v>
      </c>
      <c r="T2261" s="12"/>
      <c r="U2261" s="10" t="str">
        <f>HYPERLINK("https://pbs.twimg.com/profile_images/2387664128/5ygpr12id1qjbzuc7xvr.jpeg","View")</f>
        <v>View</v>
      </c>
    </row>
    <row r="2262" spans="1:21" ht="30.6">
      <c r="A2262" s="6">
        <v>43422.222905092596</v>
      </c>
      <c r="B2262" s="7" t="str">
        <f>HYPERLINK("https://twitter.com/FulgencioBarrad","@FulgencioBarrad")</f>
        <v>@FulgencioBarrad</v>
      </c>
      <c r="C2262" s="8" t="s">
        <v>7722</v>
      </c>
      <c r="D2262" s="9" t="s">
        <v>7723</v>
      </c>
      <c r="E2262" s="10" t="str">
        <f>HYPERLINK("https://twitter.com/FulgencioBarrad/status/1064146453256380416","1064146453256380416")</f>
        <v>1064146453256380416</v>
      </c>
      <c r="F2262" s="12"/>
      <c r="G2262" s="12"/>
      <c r="H2262" s="12"/>
      <c r="I2262" s="13">
        <v>0</v>
      </c>
      <c r="J2262" s="13">
        <v>4</v>
      </c>
      <c r="K2262" s="14" t="str">
        <f t="shared" ref="K2262:K2266" si="426">HYPERLINK("http://twitter.com/download/android","Twitter for Android")</f>
        <v>Twitter for Android</v>
      </c>
      <c r="L2262" s="13">
        <v>1207</v>
      </c>
      <c r="M2262" s="13">
        <v>1315</v>
      </c>
      <c r="N2262" s="13">
        <v>23</v>
      </c>
      <c r="O2262" s="15"/>
      <c r="P2262" s="6">
        <v>41125.85056712963</v>
      </c>
      <c r="Q2262" s="12"/>
      <c r="R2262" s="16" t="s">
        <v>7724</v>
      </c>
      <c r="S2262" s="12"/>
      <c r="T2262" s="12"/>
      <c r="U2262" s="10" t="str">
        <f>HYPERLINK("https://pbs.twimg.com/profile_images/1050588279144247297/wU74b5Sz.jpg","View")</f>
        <v>View</v>
      </c>
    </row>
    <row r="2263" spans="1:21" ht="40.799999999999997">
      <c r="A2263" s="6">
        <v>43422.221666666665</v>
      </c>
      <c r="B2263" s="7" t="str">
        <f>HYPERLINK("https://twitter.com/20nila","@20nila")</f>
        <v>@20nila</v>
      </c>
      <c r="C2263" s="8" t="s">
        <v>7725</v>
      </c>
      <c r="D2263" s="9" t="s">
        <v>7726</v>
      </c>
      <c r="E2263" s="10" t="str">
        <f>HYPERLINK("https://twitter.com/20nila/status/1064146003476000768","1064146003476000768")</f>
        <v>1064146003476000768</v>
      </c>
      <c r="F2263" s="17" t="s">
        <v>6809</v>
      </c>
      <c r="G2263" s="12"/>
      <c r="H2263" s="12"/>
      <c r="I2263" s="13">
        <v>0</v>
      </c>
      <c r="J2263" s="13">
        <v>0</v>
      </c>
      <c r="K2263" s="14" t="str">
        <f t="shared" si="426"/>
        <v>Twitter for Android</v>
      </c>
      <c r="L2263" s="13">
        <v>966</v>
      </c>
      <c r="M2263" s="13">
        <v>817</v>
      </c>
      <c r="N2263" s="13">
        <v>13</v>
      </c>
      <c r="O2263" s="15"/>
      <c r="P2263" s="6">
        <v>41432.232349537036</v>
      </c>
      <c r="Q2263" s="17" t="s">
        <v>7727</v>
      </c>
      <c r="R2263" s="16" t="s">
        <v>7728</v>
      </c>
      <c r="S2263" s="12"/>
      <c r="T2263" s="12"/>
      <c r="U2263" s="10" t="str">
        <f>HYPERLINK("https://pbs.twimg.com/profile_images/835538513546391554/rsh82TfX.jpg","View")</f>
        <v>View</v>
      </c>
    </row>
    <row r="2264" spans="1:21" ht="40.799999999999997">
      <c r="A2264" s="6">
        <v>43422.221307870372</v>
      </c>
      <c r="B2264" s="7" t="str">
        <f>HYPERLINK("https://twitter.com/Monleon_P","@Monleon_P")</f>
        <v>@Monleon_P</v>
      </c>
      <c r="C2264" s="8" t="s">
        <v>7729</v>
      </c>
      <c r="D2264" s="9" t="s">
        <v>7730</v>
      </c>
      <c r="E2264" s="10" t="str">
        <f>HYPERLINK("https://twitter.com/Monleon_P/status/1064145872315981826","1064145872315981826")</f>
        <v>1064145872315981826</v>
      </c>
      <c r="F2264" s="12"/>
      <c r="G2264" s="12"/>
      <c r="H2264" s="12"/>
      <c r="I2264" s="13">
        <v>0</v>
      </c>
      <c r="J2264" s="13">
        <v>0</v>
      </c>
      <c r="K2264" s="14" t="str">
        <f t="shared" si="426"/>
        <v>Twitter for Android</v>
      </c>
      <c r="L2264" s="13">
        <v>811</v>
      </c>
      <c r="M2264" s="13">
        <v>499</v>
      </c>
      <c r="N2264" s="13">
        <v>6</v>
      </c>
      <c r="O2264" s="15"/>
      <c r="P2264" s="6">
        <v>41129.244930555556</v>
      </c>
      <c r="Q2264" s="17" t="s">
        <v>7731</v>
      </c>
      <c r="R2264" s="16" t="s">
        <v>7732</v>
      </c>
      <c r="S2264" s="11" t="s">
        <v>7733</v>
      </c>
      <c r="T2264" s="12"/>
      <c r="U2264" s="10" t="str">
        <f>HYPERLINK("https://pbs.twimg.com/profile_images/1063730343092649984/QWFuaGDD.jpg","View")</f>
        <v>View</v>
      </c>
    </row>
    <row r="2265" spans="1:21" ht="40.799999999999997">
      <c r="A2265" s="6">
        <v>43422.220069444447</v>
      </c>
      <c r="B2265" s="7" t="str">
        <f>HYPERLINK("https://twitter.com/alex_vkcr","@alex_vkcr")</f>
        <v>@alex_vkcr</v>
      </c>
      <c r="C2265" s="8" t="s">
        <v>7734</v>
      </c>
      <c r="D2265" s="9" t="s">
        <v>7735</v>
      </c>
      <c r="E2265" s="10" t="str">
        <f>HYPERLINK("https://twitter.com/alex_vkcr/status/1064145422770417664","1064145422770417664")</f>
        <v>1064145422770417664</v>
      </c>
      <c r="F2265" s="17" t="s">
        <v>6809</v>
      </c>
      <c r="G2265" s="12"/>
      <c r="H2265" s="12"/>
      <c r="I2265" s="13">
        <v>0</v>
      </c>
      <c r="J2265" s="13">
        <v>0</v>
      </c>
      <c r="K2265" s="14" t="str">
        <f t="shared" si="426"/>
        <v>Twitter for Android</v>
      </c>
      <c r="L2265" s="13">
        <v>240</v>
      </c>
      <c r="M2265" s="13">
        <v>560</v>
      </c>
      <c r="N2265" s="13">
        <v>2</v>
      </c>
      <c r="O2265" s="15"/>
      <c r="P2265" s="6">
        <v>40652.383217592593</v>
      </c>
      <c r="Q2265" s="17" t="s">
        <v>7736</v>
      </c>
      <c r="R2265" s="16" t="s">
        <v>7737</v>
      </c>
      <c r="S2265" s="12"/>
      <c r="T2265" s="12"/>
      <c r="U2265" s="10" t="str">
        <f>HYPERLINK("https://pbs.twimg.com/profile_images/1044276494246318080/yem2X3tA.jpg","View")</f>
        <v>View</v>
      </c>
    </row>
    <row r="2266" spans="1:21" ht="30.6">
      <c r="A2266" s="6">
        <v>43422.219976851848</v>
      </c>
      <c r="B2266" s="7" t="str">
        <f>HYPERLINK("https://twitter.com/radiopolla","@radiopolla")</f>
        <v>@radiopolla</v>
      </c>
      <c r="C2266" s="8" t="s">
        <v>7126</v>
      </c>
      <c r="D2266" s="9" t="s">
        <v>7738</v>
      </c>
      <c r="E2266" s="10" t="str">
        <f>HYPERLINK("https://twitter.com/radiopolla/status/1064145391220858880","1064145391220858880")</f>
        <v>1064145391220858880</v>
      </c>
      <c r="F2266" s="12"/>
      <c r="G2266" s="11" t="s">
        <v>7739</v>
      </c>
      <c r="H2266" s="12"/>
      <c r="I2266" s="13">
        <v>13</v>
      </c>
      <c r="J2266" s="13">
        <v>27</v>
      </c>
      <c r="K2266" s="14" t="str">
        <f t="shared" si="426"/>
        <v>Twitter for Android</v>
      </c>
      <c r="L2266" s="13">
        <v>8717</v>
      </c>
      <c r="M2266" s="13">
        <v>8744</v>
      </c>
      <c r="N2266" s="13">
        <v>11</v>
      </c>
      <c r="O2266" s="15"/>
      <c r="P2266" s="6">
        <v>43148.113182870366</v>
      </c>
      <c r="Q2266" s="12"/>
      <c r="R2266" s="16" t="s">
        <v>7127</v>
      </c>
      <c r="S2266" s="12"/>
      <c r="T2266" s="12"/>
      <c r="U2266" s="10" t="str">
        <f>HYPERLINK("https://pbs.twimg.com/profile_images/1061255198906216449/j4iwKX5_.jpg","View")</f>
        <v>View</v>
      </c>
    </row>
    <row r="2267" spans="1:21" ht="40.799999999999997">
      <c r="A2267" s="6">
        <v>43422.21938657407</v>
      </c>
      <c r="B2267" s="7" t="str">
        <f>HYPERLINK("https://twitter.com/memesaavedra93","@memesaavedra93")</f>
        <v>@memesaavedra93</v>
      </c>
      <c r="C2267" s="8" t="s">
        <v>7740</v>
      </c>
      <c r="D2267" s="9" t="s">
        <v>7741</v>
      </c>
      <c r="E2267" s="10" t="str">
        <f>HYPERLINK("https://twitter.com/memesaavedra93/status/1064145174023032832","1064145174023032832")</f>
        <v>1064145174023032832</v>
      </c>
      <c r="F2267" s="12"/>
      <c r="G2267" s="12"/>
      <c r="H2267" s="12"/>
      <c r="I2267" s="13">
        <v>1</v>
      </c>
      <c r="J2267" s="13">
        <v>3</v>
      </c>
      <c r="K2267" s="14" t="str">
        <f>HYPERLINK("http://twitter.com/download/iphone","Twitter for iPhone")</f>
        <v>Twitter for iPhone</v>
      </c>
      <c r="L2267" s="13">
        <v>280</v>
      </c>
      <c r="M2267" s="13">
        <v>117</v>
      </c>
      <c r="N2267" s="13">
        <v>1</v>
      </c>
      <c r="O2267" s="15"/>
      <c r="P2267" s="6">
        <v>43352.379849537036</v>
      </c>
      <c r="Q2267" s="12"/>
      <c r="R2267" s="16" t="s">
        <v>7742</v>
      </c>
      <c r="S2267" s="12"/>
      <c r="T2267" s="12"/>
      <c r="U2267" s="10" t="str">
        <f>HYPERLINK("https://pbs.twimg.com/profile_images/1056967984302960641/qEHX8CfG.jpg","View")</f>
        <v>View</v>
      </c>
    </row>
    <row r="2268" spans="1:21" ht="30.6">
      <c r="A2268" s="6">
        <v>43422.219363425931</v>
      </c>
      <c r="B2268" s="7" t="str">
        <f>HYPERLINK("https://twitter.com/Oscar_AmL","@Oscar_AmL")</f>
        <v>@Oscar_AmL</v>
      </c>
      <c r="C2268" s="8" t="s">
        <v>7743</v>
      </c>
      <c r="D2268" s="9" t="s">
        <v>7744</v>
      </c>
      <c r="E2268" s="10" t="str">
        <f>HYPERLINK("https://twitter.com/Oscar_AmL/status/1064145165869359104","1064145165869359104")</f>
        <v>1064145165869359104</v>
      </c>
      <c r="F2268" s="12"/>
      <c r="G2268" s="12"/>
      <c r="H2268" s="12"/>
      <c r="I2268" s="13">
        <v>2</v>
      </c>
      <c r="J2268" s="13">
        <v>4</v>
      </c>
      <c r="K2268" s="14" t="str">
        <f>HYPERLINK("http://twitter.com/download/android","Twitter for Android")</f>
        <v>Twitter for Android</v>
      </c>
      <c r="L2268" s="13">
        <v>131</v>
      </c>
      <c r="M2268" s="13">
        <v>240</v>
      </c>
      <c r="N2268" s="13">
        <v>1</v>
      </c>
      <c r="O2268" s="15"/>
      <c r="P2268" s="6">
        <v>41535.556145833332</v>
      </c>
      <c r="Q2268" s="12"/>
      <c r="R2268" s="18"/>
      <c r="S2268" s="12"/>
      <c r="T2268" s="12"/>
      <c r="U2268" s="10" t="str">
        <f>HYPERLINK("https://pbs.twimg.com/profile_images/919142976776998912/1Nr0wc8m.jpg","View")</f>
        <v>View</v>
      </c>
    </row>
    <row r="2269" spans="1:21" ht="20.399999999999999">
      <c r="A2269" s="6">
        <v>43422.219247685185</v>
      </c>
      <c r="B2269" s="7" t="str">
        <f>HYPERLINK("https://twitter.com/trilogias","@trilogias")</f>
        <v>@trilogias</v>
      </c>
      <c r="C2269" s="8" t="s">
        <v>7745</v>
      </c>
      <c r="D2269" s="9" t="s">
        <v>7746</v>
      </c>
      <c r="E2269" s="10" t="str">
        <f>HYPERLINK("https://twitter.com/trilogias/status/1064145127034314757","1064145127034314757")</f>
        <v>1064145127034314757</v>
      </c>
      <c r="F2269" s="12"/>
      <c r="G2269" s="12"/>
      <c r="H2269" s="12"/>
      <c r="I2269" s="13">
        <v>0</v>
      </c>
      <c r="J2269" s="13">
        <v>0</v>
      </c>
      <c r="K2269" s="14" t="str">
        <f>HYPERLINK("http://twitter.com","Twitter Web Client")</f>
        <v>Twitter Web Client</v>
      </c>
      <c r="L2269" s="13">
        <v>108</v>
      </c>
      <c r="M2269" s="13">
        <v>261</v>
      </c>
      <c r="N2269" s="13">
        <v>15</v>
      </c>
      <c r="O2269" s="15"/>
      <c r="P2269" s="6">
        <v>40586.415567129632</v>
      </c>
      <c r="Q2269" s="17" t="s">
        <v>118</v>
      </c>
      <c r="R2269" s="16" t="s">
        <v>7747</v>
      </c>
      <c r="S2269" s="12"/>
      <c r="T2269" s="12"/>
      <c r="U2269" s="10" t="str">
        <f>HYPERLINK("https://pbs.twimg.com/profile_images/2850117583/71786dff34791fa8d4a1184cf8a0d824.jpeg","View")</f>
        <v>View</v>
      </c>
    </row>
    <row r="2270" spans="1:21" ht="30.6">
      <c r="A2270" s="6">
        <v>43422.219236111108</v>
      </c>
      <c r="B2270" s="7" t="str">
        <f>HYPERLINK("https://twitter.com/edelmiromdr","@edelmiromdr")</f>
        <v>@edelmiromdr</v>
      </c>
      <c r="C2270" s="8" t="s">
        <v>7748</v>
      </c>
      <c r="D2270" s="9" t="s">
        <v>7749</v>
      </c>
      <c r="E2270" s="10" t="str">
        <f>HYPERLINK("https://twitter.com/edelmiromdr/status/1064145119992061952","1064145119992061952")</f>
        <v>1064145119992061952</v>
      </c>
      <c r="F2270" s="12"/>
      <c r="G2270" s="12"/>
      <c r="H2270" s="12"/>
      <c r="I2270" s="13">
        <v>0</v>
      </c>
      <c r="J2270" s="13">
        <v>1</v>
      </c>
      <c r="K2270" s="14" t="str">
        <f>HYPERLINK("http://twitter.com/download/iphone","Twitter for iPhone")</f>
        <v>Twitter for iPhone</v>
      </c>
      <c r="L2270" s="13">
        <v>19</v>
      </c>
      <c r="M2270" s="13">
        <v>99</v>
      </c>
      <c r="N2270" s="13">
        <v>0</v>
      </c>
      <c r="O2270" s="15"/>
      <c r="P2270" s="6">
        <v>41365.489733796298</v>
      </c>
      <c r="Q2270" s="12"/>
      <c r="R2270" s="18"/>
      <c r="S2270" s="12"/>
      <c r="T2270" s="12"/>
      <c r="U2270" s="10" t="str">
        <f>HYPERLINK("https://pbs.twimg.com/profile_images/878746272974471170/xzxRuxFH.jpg","View")</f>
        <v>View</v>
      </c>
    </row>
    <row r="2271" spans="1:21" ht="30.6">
      <c r="A2271" s="6">
        <v>43422.219085648147</v>
      </c>
      <c r="B2271" s="7" t="str">
        <f>HYPERLINK("https://twitter.com/alebasketcase","@alebasketcase")</f>
        <v>@alebasketcase</v>
      </c>
      <c r="C2271" s="8" t="s">
        <v>7750</v>
      </c>
      <c r="D2271" s="9" t="s">
        <v>7751</v>
      </c>
      <c r="E2271" s="10" t="str">
        <f>HYPERLINK("https://twitter.com/alebasketcase/status/1064145065298325504","1064145065298325504")</f>
        <v>1064145065298325504</v>
      </c>
      <c r="F2271" s="12"/>
      <c r="G2271" s="12"/>
      <c r="H2271" s="12"/>
      <c r="I2271" s="13">
        <v>0</v>
      </c>
      <c r="J2271" s="13">
        <v>2</v>
      </c>
      <c r="K2271" s="14" t="str">
        <f>HYPERLINK("http://twitter.com/download/android","Twitter for Android")</f>
        <v>Twitter for Android</v>
      </c>
      <c r="L2271" s="13">
        <v>356</v>
      </c>
      <c r="M2271" s="13">
        <v>591</v>
      </c>
      <c r="N2271" s="13">
        <v>2</v>
      </c>
      <c r="O2271" s="15"/>
      <c r="P2271" s="6">
        <v>40858.277083333334</v>
      </c>
      <c r="Q2271" s="17" t="s">
        <v>7752</v>
      </c>
      <c r="R2271" s="16" t="s">
        <v>7753</v>
      </c>
      <c r="S2271" s="12"/>
      <c r="T2271" s="12"/>
      <c r="U2271" s="10" t="str">
        <f>HYPERLINK("https://pbs.twimg.com/profile_images/1036782960626810881/ZljHlYAs.jpg","View")</f>
        <v>View</v>
      </c>
    </row>
    <row r="2272" spans="1:21" ht="40.799999999999997">
      <c r="A2272" s="6">
        <v>43422.218831018516</v>
      </c>
      <c r="B2272" s="7" t="str">
        <f>HYPERLINK("https://twitter.com/jatirado","@jatirado")</f>
        <v>@jatirado</v>
      </c>
      <c r="C2272" s="8" t="s">
        <v>4488</v>
      </c>
      <c r="D2272" s="9" t="s">
        <v>7025</v>
      </c>
      <c r="E2272" s="10" t="str">
        <f>HYPERLINK("https://twitter.com/jatirado/status/1064144974562775041","1064144974562775041")</f>
        <v>1064144974562775041</v>
      </c>
      <c r="F2272" s="11" t="s">
        <v>7754</v>
      </c>
      <c r="G2272" s="11" t="s">
        <v>7755</v>
      </c>
      <c r="H2272" s="12"/>
      <c r="I2272" s="13">
        <v>0</v>
      </c>
      <c r="J2272" s="13">
        <v>1</v>
      </c>
      <c r="K2272" s="14" t="str">
        <f>HYPERLINK("https://dlvrit.com/","dlvr.it")</f>
        <v>dlvr.it</v>
      </c>
      <c r="L2272" s="13">
        <v>81725</v>
      </c>
      <c r="M2272" s="13">
        <v>54342</v>
      </c>
      <c r="N2272" s="13">
        <v>1027</v>
      </c>
      <c r="O2272" s="15"/>
      <c r="P2272" s="6">
        <v>40353.177581018521</v>
      </c>
      <c r="Q2272" s="17" t="s">
        <v>76</v>
      </c>
      <c r="R2272" s="16" t="s">
        <v>4492</v>
      </c>
      <c r="S2272" s="11" t="s">
        <v>4493</v>
      </c>
      <c r="T2272" s="12"/>
      <c r="U2272" s="10" t="str">
        <f>HYPERLINK("https://pbs.twimg.com/profile_images/485680559742791680/dg68o8vH.jpeg","View")</f>
        <v>View</v>
      </c>
    </row>
    <row r="2273" spans="1:21" ht="51">
      <c r="A2273" s="6">
        <v>43422.218159722222</v>
      </c>
      <c r="B2273" s="7" t="str">
        <f>HYPERLINK("https://twitter.com/JesPlaGon","@JesPlaGon")</f>
        <v>@JesPlaGon</v>
      </c>
      <c r="C2273" s="8" t="s">
        <v>7756</v>
      </c>
      <c r="D2273" s="9" t="s">
        <v>7757</v>
      </c>
      <c r="E2273" s="10" t="str">
        <f>HYPERLINK("https://twitter.com/JesPlaGon/status/1064144733084241920","1064144733084241920")</f>
        <v>1064144733084241920</v>
      </c>
      <c r="F2273" s="12"/>
      <c r="G2273" s="12"/>
      <c r="H2273" s="12"/>
      <c r="I2273" s="13">
        <v>0</v>
      </c>
      <c r="J2273" s="13">
        <v>0</v>
      </c>
      <c r="K2273" s="14" t="str">
        <f>HYPERLINK("http://twitter.com/download/android","Twitter for Android")</f>
        <v>Twitter for Android</v>
      </c>
      <c r="L2273" s="13">
        <v>141</v>
      </c>
      <c r="M2273" s="13">
        <v>93</v>
      </c>
      <c r="N2273" s="13">
        <v>3</v>
      </c>
      <c r="O2273" s="15"/>
      <c r="P2273" s="6">
        <v>40952.131770833337</v>
      </c>
      <c r="Q2273" s="17" t="s">
        <v>118</v>
      </c>
      <c r="R2273" s="16" t="s">
        <v>7758</v>
      </c>
      <c r="S2273" s="12"/>
      <c r="T2273" s="12"/>
      <c r="U2273" s="10" t="str">
        <f>HYPERLINK("https://pbs.twimg.com/profile_images/1059405977475342336/BAS0beHx.jpg","View")</f>
        <v>View</v>
      </c>
    </row>
    <row r="2274" spans="1:21" ht="40.799999999999997">
      <c r="A2274" s="6">
        <v>43422.218148148153</v>
      </c>
      <c r="B2274" s="7" t="str">
        <f>HYPERLINK("https://twitter.com/memesaavedra93","@memesaavedra93")</f>
        <v>@memesaavedra93</v>
      </c>
      <c r="C2274" s="8" t="s">
        <v>7740</v>
      </c>
      <c r="D2274" s="9" t="s">
        <v>7759</v>
      </c>
      <c r="E2274" s="10" t="str">
        <f>HYPERLINK("https://twitter.com/memesaavedra93/status/1064144728114020352","1064144728114020352")</f>
        <v>1064144728114020352</v>
      </c>
      <c r="F2274" s="12"/>
      <c r="G2274" s="12"/>
      <c r="H2274" s="12"/>
      <c r="I2274" s="13">
        <v>0</v>
      </c>
      <c r="J2274" s="13">
        <v>3</v>
      </c>
      <c r="K2274" s="14" t="str">
        <f t="shared" ref="K2274:K2275" si="427">HYPERLINK("http://twitter.com/download/iphone","Twitter for iPhone")</f>
        <v>Twitter for iPhone</v>
      </c>
      <c r="L2274" s="13">
        <v>280</v>
      </c>
      <c r="M2274" s="13">
        <v>117</v>
      </c>
      <c r="N2274" s="13">
        <v>1</v>
      </c>
      <c r="O2274" s="15"/>
      <c r="P2274" s="6">
        <v>43352.379849537036</v>
      </c>
      <c r="Q2274" s="12"/>
      <c r="R2274" s="16" t="s">
        <v>7742</v>
      </c>
      <c r="S2274" s="12"/>
      <c r="T2274" s="12"/>
      <c r="U2274" s="10" t="str">
        <f>HYPERLINK("https://pbs.twimg.com/profile_images/1056967984302960641/qEHX8CfG.jpg","View")</f>
        <v>View</v>
      </c>
    </row>
    <row r="2275" spans="1:21" ht="30.6">
      <c r="A2275" s="6">
        <v>43422.217835648145</v>
      </c>
      <c r="B2275" s="7" t="str">
        <f>HYPERLINK("https://twitter.com/iescolar","@iescolar")</f>
        <v>@iescolar</v>
      </c>
      <c r="C2275" s="8" t="s">
        <v>942</v>
      </c>
      <c r="D2275" s="9" t="s">
        <v>7760</v>
      </c>
      <c r="E2275" s="10" t="str">
        <f>HYPERLINK("https://twitter.com/iescolar/status/1064144612296728576","1064144612296728576")</f>
        <v>1064144612296728576</v>
      </c>
      <c r="F2275" s="11" t="s">
        <v>5997</v>
      </c>
      <c r="G2275" s="12"/>
      <c r="H2275" s="12"/>
      <c r="I2275" s="13">
        <v>110</v>
      </c>
      <c r="J2275" s="13">
        <v>169</v>
      </c>
      <c r="K2275" s="14" t="str">
        <f t="shared" si="427"/>
        <v>Twitter for iPhone</v>
      </c>
      <c r="L2275" s="13">
        <v>903276</v>
      </c>
      <c r="M2275" s="13">
        <v>5425</v>
      </c>
      <c r="N2275" s="13">
        <v>11976</v>
      </c>
      <c r="O2275" s="19" t="s">
        <v>74</v>
      </c>
      <c r="P2275" s="6">
        <v>39556.500960648147</v>
      </c>
      <c r="Q2275" s="17" t="s">
        <v>944</v>
      </c>
      <c r="R2275" s="16" t="s">
        <v>945</v>
      </c>
      <c r="S2275" s="11" t="s">
        <v>693</v>
      </c>
      <c r="T2275" s="12"/>
      <c r="U2275" s="10" t="str">
        <f>HYPERLINK("https://pbs.twimg.com/profile_images/970684993231097856/30L3bCoG.jpg","View")</f>
        <v>View</v>
      </c>
    </row>
    <row r="2276" spans="1:21" ht="40.799999999999997">
      <c r="A2276" s="6">
        <v>43422.217569444445</v>
      </c>
      <c r="B2276" s="7" t="str">
        <f>HYPERLINK("https://twitter.com/jpunkpanatas","@jpunkpanatas")</f>
        <v>@jpunkpanatas</v>
      </c>
      <c r="C2276" s="8" t="s">
        <v>7761</v>
      </c>
      <c r="D2276" s="9" t="s">
        <v>7762</v>
      </c>
      <c r="E2276" s="10" t="str">
        <f>HYPERLINK("https://twitter.com/jpunkpanatas/status/1064144518537273344","1064144518537273344")</f>
        <v>1064144518537273344</v>
      </c>
      <c r="F2276" s="12"/>
      <c r="G2276" s="11" t="s">
        <v>7763</v>
      </c>
      <c r="H2276" s="12"/>
      <c r="I2276" s="13">
        <v>1</v>
      </c>
      <c r="J2276" s="13">
        <v>1</v>
      </c>
      <c r="K2276" s="14" t="str">
        <f t="shared" ref="K2276:K2278" si="428">HYPERLINK("http://twitter.com/download/android","Twitter for Android")</f>
        <v>Twitter for Android</v>
      </c>
      <c r="L2276" s="13">
        <v>127</v>
      </c>
      <c r="M2276" s="13">
        <v>398</v>
      </c>
      <c r="N2276" s="13">
        <v>1</v>
      </c>
      <c r="O2276" s="15"/>
      <c r="P2276" s="6">
        <v>42739.064837962964</v>
      </c>
      <c r="Q2276" s="17" t="s">
        <v>7764</v>
      </c>
      <c r="R2276" s="16" t="s">
        <v>7765</v>
      </c>
      <c r="S2276" s="12"/>
      <c r="T2276" s="12"/>
      <c r="U2276" s="10" t="str">
        <f>HYPERLINK("https://pbs.twimg.com/profile_images/1058360817131929600/JjNL046l.jpg","View")</f>
        <v>View</v>
      </c>
    </row>
    <row r="2277" spans="1:21" ht="20.399999999999999">
      <c r="A2277" s="6">
        <v>43422.216354166667</v>
      </c>
      <c r="B2277" s="7" t="str">
        <f>HYPERLINK("https://twitter.com/gadegania","@gadegania")</f>
        <v>@gadegania</v>
      </c>
      <c r="C2277" s="8" t="s">
        <v>7766</v>
      </c>
      <c r="D2277" s="9" t="s">
        <v>7767</v>
      </c>
      <c r="E2277" s="10" t="str">
        <f>HYPERLINK("https://twitter.com/gadegania/status/1064144078651179008","1064144078651179008")</f>
        <v>1064144078651179008</v>
      </c>
      <c r="F2277" s="12"/>
      <c r="G2277" s="12"/>
      <c r="H2277" s="12"/>
      <c r="I2277" s="13">
        <v>1</v>
      </c>
      <c r="J2277" s="13">
        <v>2</v>
      </c>
      <c r="K2277" s="14" t="str">
        <f t="shared" si="428"/>
        <v>Twitter for Android</v>
      </c>
      <c r="L2277" s="13">
        <v>419</v>
      </c>
      <c r="M2277" s="13">
        <v>823</v>
      </c>
      <c r="N2277" s="13">
        <v>6</v>
      </c>
      <c r="O2277" s="15"/>
      <c r="P2277" s="6">
        <v>40577.200428240743</v>
      </c>
      <c r="Q2277" s="12"/>
      <c r="R2277" s="16" t="s">
        <v>7768</v>
      </c>
      <c r="S2277" s="12"/>
      <c r="T2277" s="12"/>
      <c r="U2277" s="10" t="str">
        <f>HYPERLINK("https://pbs.twimg.com/profile_images/427810095586877440/WIETzX0O.jpeg","View")</f>
        <v>View</v>
      </c>
    </row>
    <row r="2278" spans="1:21" ht="13.2">
      <c r="A2278" s="6">
        <v>43422.215960648144</v>
      </c>
      <c r="B2278" s="7" t="str">
        <f>HYPERLINK("https://twitter.com/SmartimMart","@SmartimMart")</f>
        <v>@SmartimMart</v>
      </c>
      <c r="C2278" s="8" t="s">
        <v>7769</v>
      </c>
      <c r="D2278" s="9" t="s">
        <v>6185</v>
      </c>
      <c r="E2278" s="10" t="str">
        <f>HYPERLINK("https://twitter.com/SmartimMart/status/1064143932731375616","1064143932731375616")</f>
        <v>1064143932731375616</v>
      </c>
      <c r="F2278" s="11" t="s">
        <v>5997</v>
      </c>
      <c r="G2278" s="12"/>
      <c r="H2278" s="12"/>
      <c r="I2278" s="13">
        <v>0</v>
      </c>
      <c r="J2278" s="13">
        <v>0</v>
      </c>
      <c r="K2278" s="14" t="str">
        <f t="shared" si="428"/>
        <v>Twitter for Android</v>
      </c>
      <c r="L2278" s="13">
        <v>118</v>
      </c>
      <c r="M2278" s="13">
        <v>590</v>
      </c>
      <c r="N2278" s="13">
        <v>0</v>
      </c>
      <c r="O2278" s="15"/>
      <c r="P2278" s="6">
        <v>40967.199537037035</v>
      </c>
      <c r="Q2278" s="12"/>
      <c r="R2278" s="18"/>
      <c r="S2278" s="12"/>
      <c r="T2278" s="12"/>
      <c r="U2278" s="19" t="s">
        <v>368</v>
      </c>
    </row>
    <row r="2279" spans="1:21" ht="20.399999999999999">
      <c r="A2279" s="6">
        <v>43422.215717592597</v>
      </c>
      <c r="B2279" s="7" t="str">
        <f>HYPERLINK("https://twitter.com/lm_ruben","@lm_ruben")</f>
        <v>@lm_ruben</v>
      </c>
      <c r="C2279" s="8" t="s">
        <v>7770</v>
      </c>
      <c r="D2279" s="9" t="s">
        <v>7771</v>
      </c>
      <c r="E2279" s="10" t="str">
        <f>HYPERLINK("https://twitter.com/lm_ruben/status/1064143844730654721","1064143844730654721")</f>
        <v>1064143844730654721</v>
      </c>
      <c r="F2279" s="11" t="s">
        <v>7772</v>
      </c>
      <c r="G2279" s="12"/>
      <c r="H2279" s="12"/>
      <c r="I2279" s="13">
        <v>0</v>
      </c>
      <c r="J2279" s="13">
        <v>0</v>
      </c>
      <c r="K2279" s="14" t="str">
        <f>HYPERLINK("http://twitter.com/#!/download/ipad","Twitter for iPad")</f>
        <v>Twitter for iPad</v>
      </c>
      <c r="L2279" s="13">
        <v>1200</v>
      </c>
      <c r="M2279" s="13">
        <v>1014</v>
      </c>
      <c r="N2279" s="13">
        <v>17</v>
      </c>
      <c r="O2279" s="15"/>
      <c r="P2279" s="6">
        <v>40881.216712962967</v>
      </c>
      <c r="Q2279" s="17" t="s">
        <v>76</v>
      </c>
      <c r="R2279" s="16" t="s">
        <v>7773</v>
      </c>
      <c r="S2279" s="12"/>
      <c r="T2279" s="12"/>
      <c r="U2279" s="10" t="str">
        <f>HYPERLINK("https://pbs.twimg.com/profile_images/486882325255688192/MvSstU6M.jpeg","View")</f>
        <v>View</v>
      </c>
    </row>
    <row r="2280" spans="1:21" ht="30.6">
      <c r="A2280" s="6">
        <v>43422.213680555556</v>
      </c>
      <c r="B2280" s="7" t="str">
        <f>HYPERLINK("https://twitter.com/que_rule","@que_rule")</f>
        <v>@que_rule</v>
      </c>
      <c r="C2280" s="8" t="s">
        <v>6469</v>
      </c>
      <c r="D2280" s="9" t="s">
        <v>7774</v>
      </c>
      <c r="E2280" s="10" t="str">
        <f>HYPERLINK("https://twitter.com/que_rule/status/1064143106310905856","1064143106310905856")</f>
        <v>1064143106310905856</v>
      </c>
      <c r="F2280" s="12"/>
      <c r="G2280" s="11" t="s">
        <v>7775</v>
      </c>
      <c r="H2280" s="12"/>
      <c r="I2280" s="13">
        <v>8</v>
      </c>
      <c r="J2280" s="13">
        <v>13</v>
      </c>
      <c r="K2280" s="14" t="str">
        <f>HYPERLINK("http://twitter.com/download/android","Twitter for Android")</f>
        <v>Twitter for Android</v>
      </c>
      <c r="L2280" s="13">
        <v>4795</v>
      </c>
      <c r="M2280" s="13">
        <v>153</v>
      </c>
      <c r="N2280" s="13">
        <v>91</v>
      </c>
      <c r="O2280" s="15"/>
      <c r="P2280" s="6">
        <v>42110.366967592592</v>
      </c>
      <c r="Q2280" s="17" t="s">
        <v>2963</v>
      </c>
      <c r="R2280" s="16" t="s">
        <v>6472</v>
      </c>
      <c r="S2280" s="12"/>
      <c r="T2280" s="12"/>
      <c r="U2280" s="10" t="str">
        <f>HYPERLINK("https://pbs.twimg.com/profile_images/1057897878885203968/xZO7N52k.jpg","View")</f>
        <v>View</v>
      </c>
    </row>
    <row r="2281" spans="1:21" ht="20.399999999999999">
      <c r="A2281" s="6">
        <v>43422.213333333333</v>
      </c>
      <c r="B2281" s="7" t="str">
        <f>HYPERLINK("https://twitter.com/eldiarioes","@eldiarioes")</f>
        <v>@eldiarioes</v>
      </c>
      <c r="C2281" s="20" t="s">
        <v>687</v>
      </c>
      <c r="D2281" s="9" t="s">
        <v>7776</v>
      </c>
      <c r="E2281" s="10" t="str">
        <f>HYPERLINK("https://twitter.com/eldiarioes/status/1064142982209814530","1064142982209814530")</f>
        <v>1064142982209814530</v>
      </c>
      <c r="F2281" s="11" t="s">
        <v>5997</v>
      </c>
      <c r="G2281" s="11" t="s">
        <v>7260</v>
      </c>
      <c r="H2281" s="12"/>
      <c r="I2281" s="13">
        <v>23</v>
      </c>
      <c r="J2281" s="13">
        <v>25</v>
      </c>
      <c r="K2281" s="14" t="str">
        <f>HYPERLINK("https://about.twitter.com/products/tweetdeck","TweetDeck")</f>
        <v>TweetDeck</v>
      </c>
      <c r="L2281" s="13">
        <v>936615</v>
      </c>
      <c r="M2281" s="13">
        <v>456</v>
      </c>
      <c r="N2281" s="13">
        <v>11236</v>
      </c>
      <c r="O2281" s="19" t="s">
        <v>74</v>
      </c>
      <c r="P2281" s="6">
        <v>40992.505856481483</v>
      </c>
      <c r="Q2281" s="12"/>
      <c r="R2281" s="16" t="s">
        <v>692</v>
      </c>
      <c r="S2281" s="11" t="s">
        <v>693</v>
      </c>
      <c r="T2281" s="12"/>
      <c r="U2281" s="10" t="str">
        <f>HYPERLINK("https://pbs.twimg.com/profile_images/1016600645292511232/eYIkIK2s.jpg","View")</f>
        <v>View</v>
      </c>
    </row>
    <row r="2282" spans="1:21" ht="20.399999999999999">
      <c r="A2282" s="6">
        <v>43422.21130787037</v>
      </c>
      <c r="B2282" s="7" t="str">
        <f>HYPERLINK("https://twitter.com/bit_media","@bit_media")</f>
        <v>@bit_media</v>
      </c>
      <c r="C2282" s="8" t="s">
        <v>7777</v>
      </c>
      <c r="D2282" s="9" t="s">
        <v>7778</v>
      </c>
      <c r="E2282" s="10" t="str">
        <f>HYPERLINK("https://twitter.com/bit_media/status/1064142248118493184","1064142248118493184")</f>
        <v>1064142248118493184</v>
      </c>
      <c r="F2282" s="11" t="s">
        <v>7779</v>
      </c>
      <c r="G2282" s="12"/>
      <c r="H2282" s="12"/>
      <c r="I2282" s="13">
        <v>0</v>
      </c>
      <c r="J2282" s="13">
        <v>0</v>
      </c>
      <c r="K2282" s="14" t="str">
        <f>HYPERLINK("http://www.noticiasbit.com","Noticias Bit")</f>
        <v>Noticias Bit</v>
      </c>
      <c r="L2282" s="13">
        <v>85</v>
      </c>
      <c r="M2282" s="13">
        <v>25</v>
      </c>
      <c r="N2282" s="13">
        <v>13</v>
      </c>
      <c r="O2282" s="15"/>
      <c r="P2282" s="6">
        <v>42086.833344907413</v>
      </c>
      <c r="Q2282" s="12"/>
      <c r="R2282" s="16" t="s">
        <v>7780</v>
      </c>
      <c r="S2282" s="12"/>
      <c r="T2282" s="12"/>
      <c r="U2282" s="10" t="str">
        <f>HYPERLINK("https://pbs.twimg.com/profile_images/580213204497899520/H1MpreLw.png","View")</f>
        <v>View</v>
      </c>
    </row>
    <row r="2283" spans="1:21" ht="30.6">
      <c r="A2283" s="6">
        <v>43422.21092592593</v>
      </c>
      <c r="B2283" s="7" t="str">
        <f>HYPERLINK("https://twitter.com/SanzVM","@SanzVM")</f>
        <v>@SanzVM</v>
      </c>
      <c r="C2283" s="8" t="s">
        <v>7781</v>
      </c>
      <c r="D2283" s="9" t="s">
        <v>7782</v>
      </c>
      <c r="E2283" s="10" t="str">
        <f>HYPERLINK("https://twitter.com/SanzVM/status/1064142110922850304","1064142110922850304")</f>
        <v>1064142110922850304</v>
      </c>
      <c r="F2283" s="11" t="s">
        <v>6778</v>
      </c>
      <c r="G2283" s="12"/>
      <c r="H2283" s="12"/>
      <c r="I2283" s="13">
        <v>1</v>
      </c>
      <c r="J2283" s="13">
        <v>0</v>
      </c>
      <c r="K2283" s="14" t="str">
        <f>HYPERLINK("http://twitter.com","Twitter Web Client")</f>
        <v>Twitter Web Client</v>
      </c>
      <c r="L2283" s="13">
        <v>2696</v>
      </c>
      <c r="M2283" s="13">
        <v>2253</v>
      </c>
      <c r="N2283" s="13">
        <v>35</v>
      </c>
      <c r="O2283" s="15"/>
      <c r="P2283" s="6">
        <v>40670.281157407408</v>
      </c>
      <c r="Q2283" s="12"/>
      <c r="R2283" s="16" t="s">
        <v>7783</v>
      </c>
      <c r="S2283" s="12"/>
      <c r="T2283" s="12"/>
      <c r="U2283" s="10" t="str">
        <f>HYPERLINK("https://pbs.twimg.com/profile_images/484960466376990720/zbqwCIiE.png","View")</f>
        <v>View</v>
      </c>
    </row>
    <row r="2284" spans="1:21" ht="20.399999999999999">
      <c r="A2284" s="6">
        <v>43422.209120370375</v>
      </c>
      <c r="B2284" s="7" t="str">
        <f>HYPERLINK("https://twitter.com/ppmontillaes","@ppmontillaes")</f>
        <v>@ppmontillaes</v>
      </c>
      <c r="C2284" s="8" t="s">
        <v>7784</v>
      </c>
      <c r="D2284" s="9" t="s">
        <v>7785</v>
      </c>
      <c r="E2284" s="10" t="str">
        <f>HYPERLINK("https://twitter.com/ppmontillaes/status/1064141454098993152","1064141454098993152")</f>
        <v>1064141454098993152</v>
      </c>
      <c r="F2284" s="11" t="s">
        <v>7786</v>
      </c>
      <c r="G2284" s="12"/>
      <c r="H2284" s="12"/>
      <c r="I2284" s="13">
        <v>2</v>
      </c>
      <c r="J2284" s="13">
        <v>2</v>
      </c>
      <c r="K2284" s="14" t="str">
        <f>HYPERLINK("https://www.google.com/","Google")</f>
        <v>Google</v>
      </c>
      <c r="L2284" s="13">
        <v>847</v>
      </c>
      <c r="M2284" s="13">
        <v>1218</v>
      </c>
      <c r="N2284" s="13">
        <v>7</v>
      </c>
      <c r="O2284" s="15"/>
      <c r="P2284" s="6">
        <v>41780.453333333331</v>
      </c>
      <c r="Q2284" s="17" t="s">
        <v>7787</v>
      </c>
      <c r="R2284" s="16" t="s">
        <v>7788</v>
      </c>
      <c r="S2284" s="11" t="s">
        <v>7789</v>
      </c>
      <c r="T2284" s="12"/>
      <c r="U2284" s="10" t="str">
        <f>HYPERLINK("https://pbs.twimg.com/profile_images/1053453473008832513/3Ue-6Sg9.jpg","View")</f>
        <v>View</v>
      </c>
    </row>
    <row r="2285" spans="1:21" ht="30.6">
      <c r="A2285" s="6">
        <v>43422.208240740743</v>
      </c>
      <c r="B2285" s="7" t="str">
        <f>HYPERLINK("https://twitter.com/Soy_Mamba_Negra","@Soy_Mamba_Negra")</f>
        <v>@Soy_Mamba_Negra</v>
      </c>
      <c r="C2285" s="8" t="s">
        <v>5435</v>
      </c>
      <c r="D2285" s="9" t="s">
        <v>7790</v>
      </c>
      <c r="E2285" s="10" t="str">
        <f>HYPERLINK("https://twitter.com/Soy_Mamba_Negra/status/1064141135692603392","1064141135692603392")</f>
        <v>1064141135692603392</v>
      </c>
      <c r="F2285" s="12"/>
      <c r="G2285" s="12"/>
      <c r="H2285" s="12"/>
      <c r="I2285" s="13">
        <v>0</v>
      </c>
      <c r="J2285" s="13">
        <v>2</v>
      </c>
      <c r="K2285" s="14" t="str">
        <f>HYPERLINK("http://twitter.com/download/android","Twitter for Android")</f>
        <v>Twitter for Android</v>
      </c>
      <c r="L2285" s="13">
        <v>391</v>
      </c>
      <c r="M2285" s="13">
        <v>394</v>
      </c>
      <c r="N2285" s="13">
        <v>0</v>
      </c>
      <c r="O2285" s="15"/>
      <c r="P2285" s="6">
        <v>43009.277939814812</v>
      </c>
      <c r="Q2285" s="12"/>
      <c r="R2285" s="16" t="s">
        <v>5437</v>
      </c>
      <c r="S2285" s="12"/>
      <c r="T2285" s="12"/>
      <c r="U2285" s="10" t="str">
        <f>HYPERLINK("https://pbs.twimg.com/profile_images/1018641670630526977/TU3hH56j.jpg","View")</f>
        <v>View</v>
      </c>
    </row>
    <row r="2286" spans="1:21" ht="30.6">
      <c r="A2286" s="6">
        <v>43422.207291666666</v>
      </c>
      <c r="B2286" s="7" t="str">
        <f>HYPERLINK("https://twitter.com/marioberamendi","@marioberamendi")</f>
        <v>@marioberamendi</v>
      </c>
      <c r="C2286" s="8" t="s">
        <v>7791</v>
      </c>
      <c r="D2286" s="9" t="s">
        <v>7792</v>
      </c>
      <c r="E2286" s="10" t="str">
        <f>HYPERLINK("https://twitter.com/marioberamendi/status/1064140792908910592","1064140792908910592")</f>
        <v>1064140792908910592</v>
      </c>
      <c r="F2286" s="12"/>
      <c r="G2286" s="12"/>
      <c r="H2286" s="12"/>
      <c r="I2286" s="13">
        <v>4</v>
      </c>
      <c r="J2286" s="13">
        <v>21</v>
      </c>
      <c r="K2286" s="14" t="str">
        <f>HYPERLINK("http://twitter.com/download/iphone","Twitter for iPhone")</f>
        <v>Twitter for iPhone</v>
      </c>
      <c r="L2286" s="13">
        <v>2690</v>
      </c>
      <c r="M2286" s="13">
        <v>926</v>
      </c>
      <c r="N2286" s="13">
        <v>69</v>
      </c>
      <c r="O2286" s="15"/>
      <c r="P2286" s="6">
        <v>40337.450659722221</v>
      </c>
      <c r="Q2286" s="17" t="s">
        <v>7793</v>
      </c>
      <c r="R2286" s="16" t="s">
        <v>7794</v>
      </c>
      <c r="S2286" s="11" t="s">
        <v>7795</v>
      </c>
      <c r="T2286" s="12"/>
      <c r="U2286" s="10" t="str">
        <f>HYPERLINK("https://pbs.twimg.com/profile_images/1061376209311940609/LqbodRlh.jpg","View")</f>
        <v>View</v>
      </c>
    </row>
    <row r="2287" spans="1:21" ht="40.799999999999997">
      <c r="A2287" s="6">
        <v>43422.206400462965</v>
      </c>
      <c r="B2287" s="7" t="str">
        <f>HYPERLINK("https://twitter.com/GquirogaGonzalo","@GquirogaGonzalo")</f>
        <v>@GquirogaGonzalo</v>
      </c>
      <c r="C2287" s="8" t="s">
        <v>3833</v>
      </c>
      <c r="D2287" s="9" t="s">
        <v>7796</v>
      </c>
      <c r="E2287" s="10" t="str">
        <f>HYPERLINK("https://twitter.com/GquirogaGonzalo/status/1064140470136098817","1064140470136098817")</f>
        <v>1064140470136098817</v>
      </c>
      <c r="F2287" s="12"/>
      <c r="G2287" s="11" t="s">
        <v>7797</v>
      </c>
      <c r="H2287" s="12"/>
      <c r="I2287" s="13">
        <v>2</v>
      </c>
      <c r="J2287" s="13">
        <v>3</v>
      </c>
      <c r="K2287" s="14" t="str">
        <f>HYPERLINK("http://twitter.com/download/android","Twitter for Android")</f>
        <v>Twitter for Android</v>
      </c>
      <c r="L2287" s="13">
        <v>2866</v>
      </c>
      <c r="M2287" s="13">
        <v>5001</v>
      </c>
      <c r="N2287" s="13">
        <v>30</v>
      </c>
      <c r="O2287" s="15"/>
      <c r="P2287" s="6">
        <v>41614.179907407408</v>
      </c>
      <c r="Q2287" s="12"/>
      <c r="R2287" s="16" t="s">
        <v>5642</v>
      </c>
      <c r="S2287" s="12"/>
      <c r="T2287" s="12"/>
      <c r="U2287" s="10" t="str">
        <f>HYPERLINK("https://pbs.twimg.com/profile_images/928029513669332992/h42Zg1ls.jpg","View")</f>
        <v>View</v>
      </c>
    </row>
    <row r="2288" spans="1:21" ht="40.799999999999997">
      <c r="A2288" s="6">
        <v>43422.20590277778</v>
      </c>
      <c r="B2288" s="7" t="str">
        <f>HYPERLINK("https://twitter.com/elmundoes","@elmundoes")</f>
        <v>@elmundoes</v>
      </c>
      <c r="C2288" s="8" t="s">
        <v>4776</v>
      </c>
      <c r="D2288" s="9" t="s">
        <v>7798</v>
      </c>
      <c r="E2288" s="10" t="str">
        <f>HYPERLINK("https://twitter.com/elmundoes/status/1064140291010166785","1064140291010166785")</f>
        <v>1064140291010166785</v>
      </c>
      <c r="F2288" s="11" t="s">
        <v>7799</v>
      </c>
      <c r="G2288" s="12"/>
      <c r="H2288" s="12"/>
      <c r="I2288" s="13">
        <v>121</v>
      </c>
      <c r="J2288" s="13">
        <v>202</v>
      </c>
      <c r="K2288" s="14" t="str">
        <f>HYPERLINK("http://www.socialflow.com","SocialFlow")</f>
        <v>SocialFlow</v>
      </c>
      <c r="L2288" s="13">
        <v>3190370</v>
      </c>
      <c r="M2288" s="13">
        <v>1355</v>
      </c>
      <c r="N2288" s="13">
        <v>29572</v>
      </c>
      <c r="O2288" s="19" t="s">
        <v>74</v>
      </c>
      <c r="P2288" s="6">
        <v>39556.478761574072</v>
      </c>
      <c r="Q2288" s="17" t="s">
        <v>29</v>
      </c>
      <c r="R2288" s="16" t="s">
        <v>4779</v>
      </c>
      <c r="S2288" s="11" t="s">
        <v>4780</v>
      </c>
      <c r="T2288" s="12"/>
      <c r="U2288" s="10" t="str">
        <f>HYPERLINK("https://pbs.twimg.com/profile_images/959947259780747265/ez18J78k.jpg","View")</f>
        <v>View</v>
      </c>
    </row>
    <row r="2289" spans="1:21" ht="40.799999999999997">
      <c r="A2289" s="6">
        <v>43422.203310185185</v>
      </c>
      <c r="B2289" s="7" t="str">
        <f>HYPERLINK("https://twitter.com/ElMundoEspana","@ElMundoEspana")</f>
        <v>@ElMundoEspana</v>
      </c>
      <c r="C2289" s="8" t="s">
        <v>2381</v>
      </c>
      <c r="D2289" s="9" t="s">
        <v>7025</v>
      </c>
      <c r="E2289" s="10" t="str">
        <f>HYPERLINK("https://twitter.com/ElMundoEspana/status/1064139352035508224","1064139352035508224")</f>
        <v>1064139352035508224</v>
      </c>
      <c r="F2289" s="11" t="s">
        <v>5715</v>
      </c>
      <c r="G2289" s="12"/>
      <c r="H2289" s="12"/>
      <c r="I2289" s="13">
        <v>1</v>
      </c>
      <c r="J2289" s="13">
        <v>1</v>
      </c>
      <c r="K2289" s="14" t="str">
        <f>HYPERLINK("http://twitter.com","Twitter Web Client")</f>
        <v>Twitter Web Client</v>
      </c>
      <c r="L2289" s="13">
        <v>17967</v>
      </c>
      <c r="M2289" s="13">
        <v>654</v>
      </c>
      <c r="N2289" s="13">
        <v>351</v>
      </c>
      <c r="O2289" s="19" t="s">
        <v>74</v>
      </c>
      <c r="P2289" s="6">
        <v>42089.082106481481</v>
      </c>
      <c r="Q2289" s="12"/>
      <c r="R2289" s="16" t="s">
        <v>2383</v>
      </c>
      <c r="S2289" s="11" t="s">
        <v>2384</v>
      </c>
      <c r="T2289" s="12"/>
      <c r="U2289" s="10" t="str">
        <f>HYPERLINK("https://pbs.twimg.com/profile_images/780431237555032064/H6v83dkC.jpg","View")</f>
        <v>View</v>
      </c>
    </row>
    <row r="2290" spans="1:21" ht="40.799999999999997">
      <c r="A2290" s="6">
        <v>43422.202835648146</v>
      </c>
      <c r="B2290" s="7" t="str">
        <f>HYPERLINK("https://twitter.com/JOHNCROJAS","@JOHNCROJAS")</f>
        <v>@JOHNCROJAS</v>
      </c>
      <c r="C2290" s="8" t="s">
        <v>7800</v>
      </c>
      <c r="D2290" s="9" t="s">
        <v>6980</v>
      </c>
      <c r="E2290" s="10" t="str">
        <f>HYPERLINK("https://twitter.com/JOHNCROJAS/status/1064139178496016385","1064139178496016385")</f>
        <v>1064139178496016385</v>
      </c>
      <c r="F2290" s="11" t="s">
        <v>7801</v>
      </c>
      <c r="G2290" s="11" t="s">
        <v>7802</v>
      </c>
      <c r="H2290" s="12"/>
      <c r="I2290" s="13">
        <v>0</v>
      </c>
      <c r="J2290" s="13">
        <v>0</v>
      </c>
      <c r="K2290" s="14" t="str">
        <f>HYPERLINK("https://dlvrit.com/","dlvr.it")</f>
        <v>dlvr.it</v>
      </c>
      <c r="L2290" s="13">
        <v>221</v>
      </c>
      <c r="M2290" s="13">
        <v>339</v>
      </c>
      <c r="N2290" s="13">
        <v>0</v>
      </c>
      <c r="O2290" s="15"/>
      <c r="P2290" s="6">
        <v>42403.474050925928</v>
      </c>
      <c r="Q2290" s="17" t="s">
        <v>405</v>
      </c>
      <c r="R2290" s="16" t="s">
        <v>7803</v>
      </c>
      <c r="S2290" s="12"/>
      <c r="T2290" s="12"/>
      <c r="U2290" s="10" t="str">
        <f>HYPERLINK("https://pbs.twimg.com/profile_images/993705753658691584/SZOvIuxj.jpg","View")</f>
        <v>View</v>
      </c>
    </row>
    <row r="2291" spans="1:21" ht="40.799999999999997">
      <c r="A2291" s="6">
        <v>43422.202696759261</v>
      </c>
      <c r="B2291" s="7" t="str">
        <f>HYPERLINK("https://twitter.com/Sanfermin00","@Sanfermin00")</f>
        <v>@Sanfermin00</v>
      </c>
      <c r="C2291" s="8" t="s">
        <v>3375</v>
      </c>
      <c r="D2291" s="9" t="s">
        <v>7804</v>
      </c>
      <c r="E2291" s="10" t="str">
        <f>HYPERLINK("https://twitter.com/Sanfermin00/status/1064139129808658433","1064139129808658433")</f>
        <v>1064139129808658433</v>
      </c>
      <c r="F2291" s="11" t="s">
        <v>7805</v>
      </c>
      <c r="G2291" s="12"/>
      <c r="H2291" s="12"/>
      <c r="I2291" s="13">
        <v>0</v>
      </c>
      <c r="J2291" s="13">
        <v>0</v>
      </c>
      <c r="K2291" s="14" t="str">
        <f t="shared" ref="K2291:K2292" si="429">HYPERLINK("http://twitter.com","Twitter Web Client")</f>
        <v>Twitter Web Client</v>
      </c>
      <c r="L2291" s="13">
        <v>16392</v>
      </c>
      <c r="M2291" s="13">
        <v>13582</v>
      </c>
      <c r="N2291" s="13">
        <v>123</v>
      </c>
      <c r="O2291" s="15"/>
      <c r="P2291" s="6">
        <v>42362.262083333335</v>
      </c>
      <c r="Q2291" s="17" t="s">
        <v>3378</v>
      </c>
      <c r="R2291" s="16" t="s">
        <v>3379</v>
      </c>
      <c r="S2291" s="11" t="s">
        <v>3380</v>
      </c>
      <c r="T2291" s="12"/>
      <c r="U2291" s="10" t="str">
        <f>HYPERLINK("https://pbs.twimg.com/profile_images/1064102923624480768/j11dV2-u.jpg","View")</f>
        <v>View</v>
      </c>
    </row>
    <row r="2292" spans="1:21" ht="61.2">
      <c r="A2292" s="6">
        <v>43422.201956018514</v>
      </c>
      <c r="B2292" s="7" t="str">
        <f>HYPERLINK("https://twitter.com/trianadigital","@trianadigital")</f>
        <v>@trianadigital</v>
      </c>
      <c r="C2292" s="8" t="s">
        <v>7691</v>
      </c>
      <c r="D2292" s="9" t="s">
        <v>7692</v>
      </c>
      <c r="E2292" s="10" t="str">
        <f>HYPERLINK("https://twitter.com/trianadigital/status/1064138861528444928","1064138861528444928")</f>
        <v>1064138861528444928</v>
      </c>
      <c r="F2292" s="11" t="s">
        <v>7693</v>
      </c>
      <c r="G2292" s="12"/>
      <c r="H2292" s="12"/>
      <c r="I2292" s="13">
        <v>2</v>
      </c>
      <c r="J2292" s="13">
        <v>1</v>
      </c>
      <c r="K2292" s="14" t="str">
        <f t="shared" si="429"/>
        <v>Twitter Web Client</v>
      </c>
      <c r="L2292" s="13">
        <v>213</v>
      </c>
      <c r="M2292" s="13">
        <v>180</v>
      </c>
      <c r="N2292" s="13">
        <v>4</v>
      </c>
      <c r="O2292" s="15"/>
      <c r="P2292" s="6">
        <v>43120.59511574074</v>
      </c>
      <c r="Q2292" s="17" t="s">
        <v>338</v>
      </c>
      <c r="R2292" s="16" t="s">
        <v>7694</v>
      </c>
      <c r="S2292" s="11" t="s">
        <v>7695</v>
      </c>
      <c r="T2292" s="12"/>
      <c r="U2292" s="10" t="str">
        <f>HYPERLINK("https://pbs.twimg.com/profile_images/954841142939578371/meUmSi8f.jpg","View")</f>
        <v>View</v>
      </c>
    </row>
    <row r="2293" spans="1:21" ht="20.399999999999999">
      <c r="A2293" s="6">
        <v>43422.199976851851</v>
      </c>
      <c r="B2293" s="7" t="str">
        <f>HYPERLINK("https://twitter.com/skakeofanzine","@skakeofanzine")</f>
        <v>@skakeofanzine</v>
      </c>
      <c r="C2293" s="8" t="s">
        <v>3142</v>
      </c>
      <c r="D2293" s="9" t="s">
        <v>7806</v>
      </c>
      <c r="E2293" s="10" t="str">
        <f>HYPERLINK("https://twitter.com/skakeofanzine/status/1064138140976365569","1064138140976365569")</f>
        <v>1064138140976365569</v>
      </c>
      <c r="F2293" s="12"/>
      <c r="G2293" s="12"/>
      <c r="H2293" s="12"/>
      <c r="I2293" s="13">
        <v>0</v>
      </c>
      <c r="J2293" s="13">
        <v>0</v>
      </c>
      <c r="K2293" s="14" t="str">
        <f t="shared" ref="K2293:K2294" si="430">HYPERLINK("http://twitter.com/download/android","Twitter for Android")</f>
        <v>Twitter for Android</v>
      </c>
      <c r="L2293" s="13">
        <v>2205</v>
      </c>
      <c r="M2293" s="13">
        <v>1196</v>
      </c>
      <c r="N2293" s="13">
        <v>43</v>
      </c>
      <c r="O2293" s="15"/>
      <c r="P2293" s="6">
        <v>40445.277233796296</v>
      </c>
      <c r="Q2293" s="17" t="s">
        <v>215</v>
      </c>
      <c r="R2293" s="16" t="s">
        <v>3145</v>
      </c>
      <c r="S2293" s="11" t="s">
        <v>3146</v>
      </c>
      <c r="T2293" s="12"/>
      <c r="U2293" s="10" t="str">
        <f>HYPERLINK("https://pbs.twimg.com/profile_images/1130273526/gse_multipart50931.jpg","View")</f>
        <v>View</v>
      </c>
    </row>
    <row r="2294" spans="1:21" ht="30.6">
      <c r="A2294" s="6">
        <v>43422.198761574073</v>
      </c>
      <c r="B2294" s="7" t="str">
        <f>HYPERLINK("https://twitter.com/navarcab","@navarcab")</f>
        <v>@navarcab</v>
      </c>
      <c r="C2294" s="8" t="s">
        <v>7807</v>
      </c>
      <c r="D2294" s="9" t="s">
        <v>7808</v>
      </c>
      <c r="E2294" s="10" t="str">
        <f>HYPERLINK("https://twitter.com/navarcab/status/1064137700083683329","1064137700083683329")</f>
        <v>1064137700083683329</v>
      </c>
      <c r="F2294" s="12"/>
      <c r="G2294" s="12"/>
      <c r="H2294" s="12"/>
      <c r="I2294" s="13">
        <v>0</v>
      </c>
      <c r="J2294" s="13">
        <v>1</v>
      </c>
      <c r="K2294" s="14" t="str">
        <f t="shared" si="430"/>
        <v>Twitter for Android</v>
      </c>
      <c r="L2294" s="13">
        <v>196</v>
      </c>
      <c r="M2294" s="13">
        <v>879</v>
      </c>
      <c r="N2294" s="13">
        <v>3</v>
      </c>
      <c r="O2294" s="15"/>
      <c r="P2294" s="6">
        <v>40725.386631944442</v>
      </c>
      <c r="Q2294" s="12"/>
      <c r="R2294" s="16" t="s">
        <v>7809</v>
      </c>
      <c r="S2294" s="12"/>
      <c r="T2294" s="12"/>
      <c r="U2294" s="10" t="str">
        <f>HYPERLINK("https://pbs.twimg.com/profile_images/917834902355283968/_f-rKRiU.jpg","View")</f>
        <v>View</v>
      </c>
    </row>
    <row r="2295" spans="1:21" ht="40.799999999999997">
      <c r="A2295" s="6">
        <v>43422.198738425926</v>
      </c>
      <c r="B2295" s="7" t="str">
        <f>HYPERLINK("https://twitter.com/Sanfermin00","@Sanfermin00")</f>
        <v>@Sanfermin00</v>
      </c>
      <c r="C2295" s="8" t="s">
        <v>3375</v>
      </c>
      <c r="D2295" s="9" t="s">
        <v>7810</v>
      </c>
      <c r="E2295" s="10" t="str">
        <f>HYPERLINK("https://twitter.com/Sanfermin00/status/1064137694282956802","1064137694282956802")</f>
        <v>1064137694282956802</v>
      </c>
      <c r="F2295" s="11" t="s">
        <v>7811</v>
      </c>
      <c r="G2295" s="12"/>
      <c r="H2295" s="12"/>
      <c r="I2295" s="13">
        <v>0</v>
      </c>
      <c r="J2295" s="13">
        <v>0</v>
      </c>
      <c r="K2295" s="14" t="str">
        <f t="shared" ref="K2295:K2297" si="431">HYPERLINK("http://twitter.com","Twitter Web Client")</f>
        <v>Twitter Web Client</v>
      </c>
      <c r="L2295" s="13">
        <v>16392</v>
      </c>
      <c r="M2295" s="13">
        <v>13582</v>
      </c>
      <c r="N2295" s="13">
        <v>123</v>
      </c>
      <c r="O2295" s="15"/>
      <c r="P2295" s="6">
        <v>42362.262083333335</v>
      </c>
      <c r="Q2295" s="17" t="s">
        <v>3378</v>
      </c>
      <c r="R2295" s="16" t="s">
        <v>3379</v>
      </c>
      <c r="S2295" s="11" t="s">
        <v>3380</v>
      </c>
      <c r="T2295" s="12"/>
      <c r="U2295" s="10" t="str">
        <f>HYPERLINK("https://pbs.twimg.com/profile_images/1064102923624480768/j11dV2-u.jpg","View")</f>
        <v>View</v>
      </c>
    </row>
    <row r="2296" spans="1:21" ht="61.2">
      <c r="A2296" s="6">
        <v>43422.198576388888</v>
      </c>
      <c r="B2296" s="7" t="str">
        <f>HYPERLINK("https://twitter.com/TTuiteroman","@TTuiteroman")</f>
        <v>@TTuiteroman</v>
      </c>
      <c r="C2296" s="8" t="s">
        <v>6207</v>
      </c>
      <c r="D2296" s="9" t="s">
        <v>7812</v>
      </c>
      <c r="E2296" s="10" t="str">
        <f>HYPERLINK("https://twitter.com/TTuiteroman/status/1064137635613106178","1064137635613106178")</f>
        <v>1064137635613106178</v>
      </c>
      <c r="F2296" s="11" t="s">
        <v>7328</v>
      </c>
      <c r="G2296" s="11" t="s">
        <v>7329</v>
      </c>
      <c r="H2296" s="12"/>
      <c r="I2296" s="13">
        <v>0</v>
      </c>
      <c r="J2296" s="13">
        <v>2</v>
      </c>
      <c r="K2296" s="14" t="str">
        <f t="shared" si="431"/>
        <v>Twitter Web Client</v>
      </c>
      <c r="L2296" s="13">
        <v>160</v>
      </c>
      <c r="M2296" s="13">
        <v>292</v>
      </c>
      <c r="N2296" s="13">
        <v>0</v>
      </c>
      <c r="O2296" s="15"/>
      <c r="P2296" s="6">
        <v>43164.125810185185</v>
      </c>
      <c r="Q2296" s="12"/>
      <c r="R2296" s="16" t="s">
        <v>6209</v>
      </c>
      <c r="S2296" s="12"/>
      <c r="T2296" s="12"/>
      <c r="U2296" s="10" t="str">
        <f>HYPERLINK("https://pbs.twimg.com/profile_images/970625286445453312/YvrD-ak1.jpg","View")</f>
        <v>View</v>
      </c>
    </row>
    <row r="2297" spans="1:21" ht="51">
      <c r="A2297" s="6">
        <v>43422.198506944449</v>
      </c>
      <c r="B2297" s="7" t="str">
        <f>HYPERLINK("https://twitter.com/NNonada","@NNonada")</f>
        <v>@NNonada</v>
      </c>
      <c r="C2297" s="8" t="s">
        <v>7813</v>
      </c>
      <c r="D2297" s="9" t="s">
        <v>7814</v>
      </c>
      <c r="E2297" s="10" t="str">
        <f>HYPERLINK("https://twitter.com/NNonada/status/1064137610476556288","1064137610476556288")</f>
        <v>1064137610476556288</v>
      </c>
      <c r="F2297" s="12"/>
      <c r="G2297" s="12"/>
      <c r="H2297" s="12"/>
      <c r="I2297" s="13">
        <v>0</v>
      </c>
      <c r="J2297" s="13">
        <v>1</v>
      </c>
      <c r="K2297" s="14" t="str">
        <f t="shared" si="431"/>
        <v>Twitter Web Client</v>
      </c>
      <c r="L2297" s="13">
        <v>1270</v>
      </c>
      <c r="M2297" s="13">
        <v>1046</v>
      </c>
      <c r="N2297" s="13">
        <v>13</v>
      </c>
      <c r="O2297" s="15"/>
      <c r="P2297" s="6">
        <v>40775.369687500002</v>
      </c>
      <c r="Q2297" s="12"/>
      <c r="R2297" s="18"/>
      <c r="S2297" s="12"/>
      <c r="T2297" s="12"/>
      <c r="U2297" s="10" t="str">
        <f>HYPERLINK("https://pbs.twimg.com/profile_images/925416079161217024/AJ-JXx73.jpg","View")</f>
        <v>View</v>
      </c>
    </row>
    <row r="2298" spans="1:21" ht="30.6">
      <c r="A2298" s="6">
        <v>43422.197129629625</v>
      </c>
      <c r="B2298" s="7" t="str">
        <f>HYPERLINK("https://twitter.com/EPCLM","@EPCLM")</f>
        <v>@EPCLM</v>
      </c>
      <c r="C2298" s="8" t="s">
        <v>6558</v>
      </c>
      <c r="D2298" s="9" t="s">
        <v>7706</v>
      </c>
      <c r="E2298" s="10" t="str">
        <f>HYPERLINK("https://twitter.com/EPCLM/status/1064137110666600448","1064137110666600448")</f>
        <v>1064137110666600448</v>
      </c>
      <c r="F2298" s="11" t="s">
        <v>7707</v>
      </c>
      <c r="G2298" s="12"/>
      <c r="H2298" s="12"/>
      <c r="I2298" s="13">
        <v>0</v>
      </c>
      <c r="J2298" s="13">
        <v>0</v>
      </c>
      <c r="K2298" s="14" t="str">
        <f>HYPERLINK("http://www.europapress.es/castilla-lamancha/","Twitter editor Castilla Mancha")</f>
        <v>Twitter editor Castilla Mancha</v>
      </c>
      <c r="L2298" s="13">
        <v>11114</v>
      </c>
      <c r="M2298" s="13">
        <v>151</v>
      </c>
      <c r="N2298" s="13">
        <v>230</v>
      </c>
      <c r="O2298" s="15"/>
      <c r="P2298" s="6">
        <v>40540.380069444444</v>
      </c>
      <c r="Q2298" s="17" t="s">
        <v>6559</v>
      </c>
      <c r="R2298" s="16" t="s">
        <v>6560</v>
      </c>
      <c r="S2298" s="11" t="s">
        <v>6561</v>
      </c>
      <c r="T2298" s="12"/>
      <c r="U2298" s="10" t="str">
        <f>HYPERLINK("https://pbs.twimg.com/profile_images/876768991913672705/n3kzYOxS.jpg","View")</f>
        <v>View</v>
      </c>
    </row>
    <row r="2299" spans="1:21" ht="30.6">
      <c r="A2299" s="6">
        <v>43422.195555555554</v>
      </c>
      <c r="B2299" s="7" t="str">
        <f>HYPERLINK("https://twitter.com/pahtarragonainf","@pahtarragonainf")</f>
        <v>@pahtarragonainf</v>
      </c>
      <c r="C2299" s="8" t="s">
        <v>7815</v>
      </c>
      <c r="D2299" s="9" t="s">
        <v>7377</v>
      </c>
      <c r="E2299" s="10" t="str">
        <f>HYPERLINK("https://twitter.com/pahtarragonainf/status/1064136541444952064","1064136541444952064")</f>
        <v>1064136541444952064</v>
      </c>
      <c r="F2299" s="11" t="s">
        <v>7378</v>
      </c>
      <c r="G2299" s="12"/>
      <c r="H2299" s="12"/>
      <c r="I2299" s="13">
        <v>0</v>
      </c>
      <c r="J2299" s="13">
        <v>0</v>
      </c>
      <c r="K2299" s="14" t="str">
        <f>HYPERLINK("http://www.facebook.com/twitter","Facebook")</f>
        <v>Facebook</v>
      </c>
      <c r="L2299" s="13">
        <v>1044</v>
      </c>
      <c r="M2299" s="13">
        <v>625</v>
      </c>
      <c r="N2299" s="13">
        <v>20</v>
      </c>
      <c r="O2299" s="15"/>
      <c r="P2299" s="6">
        <v>41737.284942129627</v>
      </c>
      <c r="Q2299" s="17" t="s">
        <v>7816</v>
      </c>
      <c r="R2299" s="16" t="s">
        <v>7817</v>
      </c>
      <c r="S2299" s="12"/>
      <c r="T2299" s="12"/>
      <c r="U2299" s="10" t="str">
        <f>HYPERLINK("https://pbs.twimg.com/profile_images/830465606667399168/tCtI9cVO.jpg","View")</f>
        <v>View</v>
      </c>
    </row>
    <row r="2300" spans="1:21" ht="40.799999999999997">
      <c r="A2300" s="6">
        <v>43422.195069444446</v>
      </c>
      <c r="B2300" s="7" t="str">
        <f>HYPERLINK("https://twitter.com/Sutcliffe_1","@Sutcliffe_1")</f>
        <v>@Sutcliffe_1</v>
      </c>
      <c r="C2300" s="8" t="s">
        <v>7818</v>
      </c>
      <c r="D2300" s="9" t="s">
        <v>7819</v>
      </c>
      <c r="E2300" s="10" t="str">
        <f>HYPERLINK("https://twitter.com/Sutcliffe_1/status/1064136365229711360","1064136365229711360")</f>
        <v>1064136365229711360</v>
      </c>
      <c r="F2300" s="12"/>
      <c r="G2300" s="12"/>
      <c r="H2300" s="12"/>
      <c r="I2300" s="13">
        <v>10</v>
      </c>
      <c r="J2300" s="13">
        <v>23</v>
      </c>
      <c r="K2300" s="14" t="str">
        <f>HYPERLINK("https://mobile.twitter.com","Twitter Lite")</f>
        <v>Twitter Lite</v>
      </c>
      <c r="L2300" s="13">
        <v>1907</v>
      </c>
      <c r="M2300" s="13">
        <v>1830</v>
      </c>
      <c r="N2300" s="13">
        <v>2</v>
      </c>
      <c r="O2300" s="15"/>
      <c r="P2300" s="6">
        <v>43093.333483796298</v>
      </c>
      <c r="Q2300" s="12"/>
      <c r="R2300" s="16" t="s">
        <v>7820</v>
      </c>
      <c r="S2300" s="12"/>
      <c r="T2300" s="12"/>
      <c r="U2300" s="10" t="str">
        <f>HYPERLINK("https://pbs.twimg.com/profile_images/944962567960715266/MP64cvZV.jpg","View")</f>
        <v>View</v>
      </c>
    </row>
    <row r="2301" spans="1:21" ht="40.799999999999997">
      <c r="A2301" s="6">
        <v>43422.194212962961</v>
      </c>
      <c r="B2301" s="7" t="str">
        <f>HYPERLINK("https://twitter.com/EnriqueBonillaA","@EnriqueBonillaA")</f>
        <v>@EnriqueBonillaA</v>
      </c>
      <c r="C2301" s="8" t="s">
        <v>7821</v>
      </c>
      <c r="D2301" s="9" t="s">
        <v>7822</v>
      </c>
      <c r="E2301" s="10" t="str">
        <f>HYPERLINK("https://twitter.com/EnriqueBonillaA/status/1064136052405878784","1064136052405878784")</f>
        <v>1064136052405878784</v>
      </c>
      <c r="F2301" s="17" t="s">
        <v>446</v>
      </c>
      <c r="G2301" s="12"/>
      <c r="H2301" s="12"/>
      <c r="I2301" s="13">
        <v>17</v>
      </c>
      <c r="J2301" s="13">
        <v>39</v>
      </c>
      <c r="K2301" s="14" t="str">
        <f>HYPERLINK("http://twitter.com/download/android","Twitter for Android")</f>
        <v>Twitter for Android</v>
      </c>
      <c r="L2301" s="13">
        <v>18704</v>
      </c>
      <c r="M2301" s="13">
        <v>5703</v>
      </c>
      <c r="N2301" s="13">
        <v>145</v>
      </c>
      <c r="O2301" s="15"/>
      <c r="P2301" s="6">
        <v>42258.44021990741</v>
      </c>
      <c r="Q2301" s="17" t="s">
        <v>550</v>
      </c>
      <c r="R2301" s="16" t="s">
        <v>7825</v>
      </c>
      <c r="S2301" s="11" t="s">
        <v>7826</v>
      </c>
      <c r="T2301" s="12"/>
      <c r="U2301" s="10" t="str">
        <f>HYPERLINK("https://pbs.twimg.com/profile_images/811705800091693056/IsGVEGdm.jpg","View")</f>
        <v>View</v>
      </c>
    </row>
    <row r="2302" spans="1:21" ht="20.399999999999999">
      <c r="A2302" s="6">
        <v>43422.193761574075</v>
      </c>
      <c r="B2302" s="7" t="str">
        <f>HYPERLINK("https://twitter.com/Espanistan_","@Espanistan_")</f>
        <v>@Espanistan_</v>
      </c>
      <c r="C2302" s="8" t="s">
        <v>7827</v>
      </c>
      <c r="D2302" s="9" t="s">
        <v>5246</v>
      </c>
      <c r="E2302" s="10" t="str">
        <f>HYPERLINK("https://twitter.com/Espanistan_/status/1064135890535100416","1064135890535100416")</f>
        <v>1064135890535100416</v>
      </c>
      <c r="F2302" s="11" t="s">
        <v>6099</v>
      </c>
      <c r="G2302" s="12"/>
      <c r="H2302" s="12"/>
      <c r="I2302" s="13">
        <v>0</v>
      </c>
      <c r="J2302" s="13">
        <v>0</v>
      </c>
      <c r="K2302" s="14" t="str">
        <f t="shared" ref="K2302:K2304" si="432">HYPERLINK("http://www.facebook.com/twitter","Facebook")</f>
        <v>Facebook</v>
      </c>
      <c r="L2302" s="13">
        <v>1537</v>
      </c>
      <c r="M2302" s="13">
        <v>174</v>
      </c>
      <c r="N2302" s="13">
        <v>3</v>
      </c>
      <c r="O2302" s="15"/>
      <c r="P2302" s="6">
        <v>41102.57744212963</v>
      </c>
      <c r="Q2302" s="12"/>
      <c r="R2302" s="16" t="s">
        <v>7828</v>
      </c>
      <c r="S2302" s="12"/>
      <c r="T2302" s="12"/>
      <c r="U2302" s="10" t="str">
        <f>HYPERLINK("https://pbs.twimg.com/profile_images/2392435521/53ov8j72h4zkqa8x04u8.jpeg","View")</f>
        <v>View</v>
      </c>
    </row>
    <row r="2303" spans="1:21" ht="40.799999999999997">
      <c r="A2303" s="6">
        <v>43422.192974537036</v>
      </c>
      <c r="B2303" s="7" t="str">
        <f>HYPERLINK("https://twitter.com/nnggcalahorra","@nnggcalahorra")</f>
        <v>@nnggcalahorra</v>
      </c>
      <c r="C2303" s="8" t="s">
        <v>192</v>
      </c>
      <c r="D2303" s="9" t="s">
        <v>7829</v>
      </c>
      <c r="E2303" s="10" t="str">
        <f>HYPERLINK("https://twitter.com/nnggcalahorra/status/1064135602864574464","1064135602864574464")</f>
        <v>1064135602864574464</v>
      </c>
      <c r="F2303" s="11" t="s">
        <v>7830</v>
      </c>
      <c r="G2303" s="12"/>
      <c r="H2303" s="12"/>
      <c r="I2303" s="13">
        <v>0</v>
      </c>
      <c r="J2303" s="13">
        <v>0</v>
      </c>
      <c r="K2303" s="14" t="str">
        <f t="shared" si="432"/>
        <v>Facebook</v>
      </c>
      <c r="L2303" s="13">
        <v>256</v>
      </c>
      <c r="M2303" s="13">
        <v>253</v>
      </c>
      <c r="N2303" s="13">
        <v>6</v>
      </c>
      <c r="O2303" s="15"/>
      <c r="P2303" s="6">
        <v>41602.030324074076</v>
      </c>
      <c r="Q2303" s="17" t="s">
        <v>195</v>
      </c>
      <c r="R2303" s="16" t="s">
        <v>196</v>
      </c>
      <c r="S2303" s="11" t="s">
        <v>197</v>
      </c>
      <c r="T2303" s="12"/>
      <c r="U2303" s="10" t="str">
        <f>HYPERLINK("https://pbs.twimg.com/profile_images/917766110795255808/EKcgWEuT.jpg","View")</f>
        <v>View</v>
      </c>
    </row>
    <row r="2304" spans="1:21" ht="20.399999999999999">
      <c r="A2304" s="6">
        <v>43422.190763888888</v>
      </c>
      <c r="B2304" s="7" t="str">
        <f>HYPERLINK("https://twitter.com/J7Carpa","@J7Carpa")</f>
        <v>@J7Carpa</v>
      </c>
      <c r="C2304" s="8" t="s">
        <v>7831</v>
      </c>
      <c r="D2304" s="9" t="s">
        <v>7832</v>
      </c>
      <c r="E2304" s="10" t="str">
        <f>HYPERLINK("https://twitter.com/J7Carpa/status/1064134803908382720","1064134803908382720")</f>
        <v>1064134803908382720</v>
      </c>
      <c r="F2304" s="11" t="s">
        <v>6224</v>
      </c>
      <c r="G2304" s="12"/>
      <c r="H2304" s="12"/>
      <c r="I2304" s="13">
        <v>0</v>
      </c>
      <c r="J2304" s="13">
        <v>0</v>
      </c>
      <c r="K2304" s="14" t="str">
        <f t="shared" si="432"/>
        <v>Facebook</v>
      </c>
      <c r="L2304" s="13">
        <v>193</v>
      </c>
      <c r="M2304" s="13">
        <v>82</v>
      </c>
      <c r="N2304" s="13">
        <v>5</v>
      </c>
      <c r="O2304" s="15"/>
      <c r="P2304" s="6">
        <v>41355.740185185183</v>
      </c>
      <c r="Q2304" s="12"/>
      <c r="R2304" s="16" t="s">
        <v>7833</v>
      </c>
      <c r="S2304" s="12"/>
      <c r="T2304" s="12"/>
      <c r="U2304" s="10" t="str">
        <f>HYPERLINK("https://pbs.twimg.com/profile_images/3416105974/902a873a817048d77070ed728547dde6.jpeg","View")</f>
        <v>View</v>
      </c>
    </row>
    <row r="2305" spans="1:21" ht="30.6">
      <c r="A2305" s="6">
        <v>43422.190347222218</v>
      </c>
      <c r="B2305" s="7" t="str">
        <f>HYPERLINK("https://twitter.com/IldefonsoPerez9","@IldefonsoPerez9")</f>
        <v>@IldefonsoPerez9</v>
      </c>
      <c r="C2305" s="8" t="s">
        <v>7834</v>
      </c>
      <c r="D2305" s="9" t="s">
        <v>7835</v>
      </c>
      <c r="E2305" s="10" t="str">
        <f>HYPERLINK("https://twitter.com/IldefonsoPerez9/status/1064134652611293184","1064134652611293184")</f>
        <v>1064134652611293184</v>
      </c>
      <c r="F2305" s="11" t="s">
        <v>7836</v>
      </c>
      <c r="G2305" s="11" t="s">
        <v>7837</v>
      </c>
      <c r="H2305" s="12"/>
      <c r="I2305" s="13">
        <v>0</v>
      </c>
      <c r="J2305" s="13">
        <v>0</v>
      </c>
      <c r="K2305" s="14" t="str">
        <f>HYPERLINK("https://dlvrit.com/","dlvr.it")</f>
        <v>dlvr.it</v>
      </c>
      <c r="L2305" s="13">
        <v>18</v>
      </c>
      <c r="M2305" s="13">
        <v>92</v>
      </c>
      <c r="N2305" s="13">
        <v>1</v>
      </c>
      <c r="O2305" s="15"/>
      <c r="P2305" s="6">
        <v>42736.167557870373</v>
      </c>
      <c r="Q2305" s="17" t="s">
        <v>6577</v>
      </c>
      <c r="R2305" s="16" t="s">
        <v>7838</v>
      </c>
      <c r="S2305" s="12"/>
      <c r="T2305" s="12"/>
      <c r="U2305" s="10" t="str">
        <f>HYPERLINK("https://pbs.twimg.com/profile_images/818869204501794816/rLsEcDpN.jpg","View")</f>
        <v>View</v>
      </c>
    </row>
    <row r="2306" spans="1:21" ht="20.399999999999999">
      <c r="A2306" s="6">
        <v>43422.186921296292</v>
      </c>
      <c r="B2306" s="7" t="str">
        <f>HYPERLINK("https://twitter.com/Diegosantos770","@Diegosantos770")</f>
        <v>@Diegosantos770</v>
      </c>
      <c r="C2306" s="8" t="s">
        <v>7839</v>
      </c>
      <c r="D2306" s="9" t="s">
        <v>7840</v>
      </c>
      <c r="E2306" s="10" t="str">
        <f>HYPERLINK("https://twitter.com/Diegosantos770/status/1064133411240071169","1064133411240071169")</f>
        <v>1064133411240071169</v>
      </c>
      <c r="F2306" s="12"/>
      <c r="G2306" s="12"/>
      <c r="H2306" s="12"/>
      <c r="I2306" s="13">
        <v>0</v>
      </c>
      <c r="J2306" s="13">
        <v>2</v>
      </c>
      <c r="K2306" s="14" t="str">
        <f>HYPERLINK("http://twitter.com/download/android","Twitter for Android")</f>
        <v>Twitter for Android</v>
      </c>
      <c r="L2306" s="13">
        <v>160</v>
      </c>
      <c r="M2306" s="13">
        <v>686</v>
      </c>
      <c r="N2306" s="13">
        <v>5</v>
      </c>
      <c r="O2306" s="15"/>
      <c r="P2306" s="6">
        <v>41286.125590277778</v>
      </c>
      <c r="Q2306" s="17" t="s">
        <v>7841</v>
      </c>
      <c r="R2306" s="16" t="s">
        <v>7842</v>
      </c>
      <c r="S2306" s="12"/>
      <c r="T2306" s="12"/>
      <c r="U2306" s="10" t="str">
        <f>HYPERLINK("https://pbs.twimg.com/profile_images/1016247291135610880/gKdaAdK4.jpg","View")</f>
        <v>View</v>
      </c>
    </row>
    <row r="2307" spans="1:21" ht="40.799999999999997">
      <c r="A2307" s="6">
        <v>43422.185462962967</v>
      </c>
      <c r="B2307" s="7" t="str">
        <f>HYPERLINK("https://twitter.com/pollossincabeza","@pollossincabeza")</f>
        <v>@pollossincabeza</v>
      </c>
      <c r="C2307" s="8" t="s">
        <v>1141</v>
      </c>
      <c r="D2307" s="9" t="s">
        <v>7843</v>
      </c>
      <c r="E2307" s="10" t="str">
        <f>HYPERLINK("https://twitter.com/pollossincabeza/status/1064132884481626113","1064132884481626113")</f>
        <v>1064132884481626113</v>
      </c>
      <c r="F2307" s="11" t="s">
        <v>7641</v>
      </c>
      <c r="G2307" s="12"/>
      <c r="H2307" s="12"/>
      <c r="I2307" s="13">
        <v>0</v>
      </c>
      <c r="J2307" s="13">
        <v>0</v>
      </c>
      <c r="K2307" s="14" t="str">
        <f t="shared" ref="K2307:K2308" si="433">HYPERLINK("https://ifttt.com","IFTTT")</f>
        <v>IFTTT</v>
      </c>
      <c r="L2307" s="13">
        <v>1277</v>
      </c>
      <c r="M2307" s="13">
        <v>793</v>
      </c>
      <c r="N2307" s="13">
        <v>48</v>
      </c>
      <c r="O2307" s="15"/>
      <c r="P2307" s="6">
        <v>40838.093773148146</v>
      </c>
      <c r="Q2307" s="17" t="s">
        <v>143</v>
      </c>
      <c r="R2307" s="16" t="s">
        <v>1145</v>
      </c>
      <c r="S2307" s="11" t="s">
        <v>1146</v>
      </c>
      <c r="T2307" s="12"/>
      <c r="U2307" s="10" t="str">
        <f>HYPERLINK("https://pbs.twimg.com/profile_images/1702897548/1o7IpdWx","View")</f>
        <v>View</v>
      </c>
    </row>
    <row r="2308" spans="1:21" ht="20.399999999999999">
      <c r="A2308" s="6">
        <v>43422.184236111112</v>
      </c>
      <c r="B2308" s="7" t="str">
        <f>HYPERLINK("https://twitter.com/Comunicacion_VE","@Comunicacion_VE")</f>
        <v>@Comunicacion_VE</v>
      </c>
      <c r="C2308" s="8" t="s">
        <v>7844</v>
      </c>
      <c r="D2308" s="9" t="s">
        <v>7845</v>
      </c>
      <c r="E2308" s="10" t="str">
        <f>HYPERLINK("https://twitter.com/Comunicacion_VE/status/1064132439017177088","1064132439017177088")</f>
        <v>1064132439017177088</v>
      </c>
      <c r="F2308" s="11" t="s">
        <v>7641</v>
      </c>
      <c r="G2308" s="12"/>
      <c r="H2308" s="12"/>
      <c r="I2308" s="13">
        <v>0</v>
      </c>
      <c r="J2308" s="13">
        <v>0</v>
      </c>
      <c r="K2308" s="14" t="str">
        <f t="shared" si="433"/>
        <v>IFTTT</v>
      </c>
      <c r="L2308" s="13">
        <v>4276</v>
      </c>
      <c r="M2308" s="13">
        <v>3035</v>
      </c>
      <c r="N2308" s="13">
        <v>208</v>
      </c>
      <c r="O2308" s="15"/>
      <c r="P2308" s="6">
        <v>41500.793194444443</v>
      </c>
      <c r="Q2308" s="17" t="s">
        <v>7846</v>
      </c>
      <c r="R2308" s="16" t="s">
        <v>7847</v>
      </c>
      <c r="S2308" s="12"/>
      <c r="T2308" s="12"/>
      <c r="U2308" s="10" t="str">
        <f>HYPERLINK("https://pbs.twimg.com/profile_images/422951202641285120/X7KlVdpL.jpeg","View")</f>
        <v>View</v>
      </c>
    </row>
    <row r="2309" spans="1:21" ht="30.6">
      <c r="A2309" s="6">
        <v>43422.183749999997</v>
      </c>
      <c r="B2309" s="7" t="str">
        <f>HYPERLINK("https://twitter.com/Guerraeterna","@Guerraeterna")</f>
        <v>@Guerraeterna</v>
      </c>
      <c r="C2309" s="8" t="s">
        <v>5995</v>
      </c>
      <c r="D2309" s="9" t="s">
        <v>7848</v>
      </c>
      <c r="E2309" s="10" t="str">
        <f>HYPERLINK("https://twitter.com/Guerraeterna/status/1064132261187080194","1064132261187080194")</f>
        <v>1064132261187080194</v>
      </c>
      <c r="F2309" s="11" t="s">
        <v>5997</v>
      </c>
      <c r="G2309" s="11" t="s">
        <v>7849</v>
      </c>
      <c r="H2309" s="12"/>
      <c r="I2309" s="13">
        <v>23</v>
      </c>
      <c r="J2309" s="13">
        <v>14</v>
      </c>
      <c r="K2309" s="14" t="str">
        <f>HYPERLINK("https://about.twitter.com/products/tweetdeck","TweetDeck")</f>
        <v>TweetDeck</v>
      </c>
      <c r="L2309" s="13">
        <v>52223</v>
      </c>
      <c r="M2309" s="13">
        <v>284</v>
      </c>
      <c r="N2309" s="13">
        <v>2101</v>
      </c>
      <c r="O2309" s="15"/>
      <c r="P2309" s="6">
        <v>39550.682928240742</v>
      </c>
      <c r="Q2309" s="17" t="s">
        <v>76</v>
      </c>
      <c r="R2309" s="16" t="s">
        <v>5999</v>
      </c>
      <c r="S2309" s="11" t="s">
        <v>6000</v>
      </c>
      <c r="T2309" s="12"/>
      <c r="U2309" s="10" t="str">
        <f>HYPERLINK("https://pbs.twimg.com/profile_images/2489605934/l16rhkss0kkwhvecjuv4.jpeg","View")</f>
        <v>View</v>
      </c>
    </row>
    <row r="2310" spans="1:21" ht="20.399999999999999">
      <c r="A2310" s="6">
        <v>43422.183113425926</v>
      </c>
      <c r="B2310" s="7" t="str">
        <f>HYPERLINK("https://twitter.com/granzizu","@granzizu")</f>
        <v>@granzizu</v>
      </c>
      <c r="C2310" s="8" t="s">
        <v>3005</v>
      </c>
      <c r="D2310" s="9" t="s">
        <v>7850</v>
      </c>
      <c r="E2310" s="10" t="str">
        <f>HYPERLINK("https://twitter.com/granzizu/status/1064132029527334912","1064132029527334912")</f>
        <v>1064132029527334912</v>
      </c>
      <c r="F2310" s="12"/>
      <c r="G2310" s="11" t="s">
        <v>7851</v>
      </c>
      <c r="H2310" s="12"/>
      <c r="I2310" s="13">
        <v>1</v>
      </c>
      <c r="J2310" s="13">
        <v>1</v>
      </c>
      <c r="K2310" s="14" t="str">
        <f t="shared" ref="K2310:K2311" si="434">HYPERLINK("http://twitter.com/download/iphone","Twitter for iPhone")</f>
        <v>Twitter for iPhone</v>
      </c>
      <c r="L2310" s="13">
        <v>178</v>
      </c>
      <c r="M2310" s="13">
        <v>595</v>
      </c>
      <c r="N2310" s="13">
        <v>7</v>
      </c>
      <c r="O2310" s="15"/>
      <c r="P2310" s="6">
        <v>40439.196261574078</v>
      </c>
      <c r="Q2310" s="17" t="s">
        <v>1018</v>
      </c>
      <c r="R2310" s="16" t="s">
        <v>7852</v>
      </c>
      <c r="S2310" s="12"/>
      <c r="T2310" s="12"/>
      <c r="U2310" s="10" t="str">
        <f>HYPERLINK("https://pbs.twimg.com/profile_images/567618685448511488/kQhpyRXK.jpeg","View")</f>
        <v>View</v>
      </c>
    </row>
    <row r="2311" spans="1:21" ht="81.599999999999994">
      <c r="A2311" s="6">
        <v>43422.182002314818</v>
      </c>
      <c r="B2311" s="7" t="str">
        <f>HYPERLINK("https://twitter.com/EfrainJD18","@EfrainJD18")</f>
        <v>@EfrainJD18</v>
      </c>
      <c r="C2311" s="8" t="s">
        <v>7854</v>
      </c>
      <c r="D2311" s="9" t="s">
        <v>7855</v>
      </c>
      <c r="E2311" s="10" t="str">
        <f>HYPERLINK("https://twitter.com/EfrainJD18/status/1064131628606271488","1064131628606271488")</f>
        <v>1064131628606271488</v>
      </c>
      <c r="F2311" s="17" t="s">
        <v>7856</v>
      </c>
      <c r="G2311" s="12"/>
      <c r="H2311" s="12"/>
      <c r="I2311" s="13">
        <v>0</v>
      </c>
      <c r="J2311" s="13">
        <v>0</v>
      </c>
      <c r="K2311" s="14" t="str">
        <f t="shared" si="434"/>
        <v>Twitter for iPhone</v>
      </c>
      <c r="L2311" s="13">
        <v>488</v>
      </c>
      <c r="M2311" s="13">
        <v>445</v>
      </c>
      <c r="N2311" s="13">
        <v>0</v>
      </c>
      <c r="O2311" s="15"/>
      <c r="P2311" s="6">
        <v>43121.832465277781</v>
      </c>
      <c r="Q2311" s="17" t="s">
        <v>7857</v>
      </c>
      <c r="R2311" s="16" t="s">
        <v>7858</v>
      </c>
      <c r="S2311" s="12"/>
      <c r="T2311" s="12"/>
      <c r="U2311" s="10" t="str">
        <f>HYPERLINK("https://pbs.twimg.com/profile_images/1060552353919598595/wBNBgyFF.jpg","View")</f>
        <v>View</v>
      </c>
    </row>
    <row r="2312" spans="1:21" ht="71.400000000000006">
      <c r="A2312" s="6">
        <v>43422.178368055553</v>
      </c>
      <c r="B2312" s="7" t="str">
        <f>HYPERLINK("https://twitter.com/MdAralar","@MdAralar")</f>
        <v>@MdAralar</v>
      </c>
      <c r="C2312" s="8" t="s">
        <v>7859</v>
      </c>
      <c r="D2312" s="9" t="s">
        <v>7860</v>
      </c>
      <c r="E2312" s="10" t="str">
        <f>HYPERLINK("https://twitter.com/MdAralar/status/1064130312333078528","1064130312333078528")</f>
        <v>1064130312333078528</v>
      </c>
      <c r="F2312" s="17" t="s">
        <v>7861</v>
      </c>
      <c r="G2312" s="12"/>
      <c r="H2312" s="12"/>
      <c r="I2312" s="13">
        <v>0</v>
      </c>
      <c r="J2312" s="13">
        <v>0</v>
      </c>
      <c r="K2312" s="14" t="str">
        <f>HYPERLINK("http://twitter.com/download/android","Twitter for Android")</f>
        <v>Twitter for Android</v>
      </c>
      <c r="L2312" s="13">
        <v>979</v>
      </c>
      <c r="M2312" s="13">
        <v>1592</v>
      </c>
      <c r="N2312" s="13">
        <v>3</v>
      </c>
      <c r="O2312" s="15"/>
      <c r="P2312" s="6">
        <v>41643.509432870371</v>
      </c>
      <c r="Q2312" s="17" t="s">
        <v>7862</v>
      </c>
      <c r="R2312" s="16" t="s">
        <v>7863</v>
      </c>
      <c r="S2312" s="12"/>
      <c r="T2312" s="12"/>
      <c r="U2312" s="10" t="str">
        <f>HYPERLINK("https://pbs.twimg.com/profile_images/906629802811121664/PQXNPhWg.jpg","View")</f>
        <v>View</v>
      </c>
    </row>
    <row r="2313" spans="1:21" ht="61.2">
      <c r="A2313" s="6">
        <v>43422.176990740743</v>
      </c>
      <c r="B2313" s="7" t="str">
        <f>HYPERLINK("https://twitter.com/qquiquee","@qquiquee")</f>
        <v>@qquiquee</v>
      </c>
      <c r="C2313" s="8" t="s">
        <v>7864</v>
      </c>
      <c r="D2313" s="9" t="s">
        <v>7865</v>
      </c>
      <c r="E2313" s="10" t="str">
        <f>HYPERLINK("https://twitter.com/qquiquee/status/1064129812682416128","1064129812682416128")</f>
        <v>1064129812682416128</v>
      </c>
      <c r="F2313" s="17" t="s">
        <v>7866</v>
      </c>
      <c r="G2313" s="12"/>
      <c r="H2313" s="12"/>
      <c r="I2313" s="13">
        <v>0</v>
      </c>
      <c r="J2313" s="13">
        <v>1</v>
      </c>
      <c r="K2313" s="14" t="str">
        <f>HYPERLINK("http://twitter.com/download/iphone","Twitter for iPhone")</f>
        <v>Twitter for iPhone</v>
      </c>
      <c r="L2313" s="13">
        <v>378</v>
      </c>
      <c r="M2313" s="13">
        <v>146</v>
      </c>
      <c r="N2313" s="13">
        <v>3</v>
      </c>
      <c r="O2313" s="15"/>
      <c r="P2313" s="6">
        <v>40157.438680555555</v>
      </c>
      <c r="Q2313" s="17" t="s">
        <v>26</v>
      </c>
      <c r="R2313" s="16" t="s">
        <v>7867</v>
      </c>
      <c r="S2313" s="11" t="s">
        <v>7868</v>
      </c>
      <c r="T2313" s="12"/>
      <c r="U2313" s="10" t="str">
        <f>HYPERLINK("https://pbs.twimg.com/profile_images/1054035782204297216/wFcjXQtk.jpg","View")</f>
        <v>View</v>
      </c>
    </row>
    <row r="2314" spans="1:21" ht="20.399999999999999">
      <c r="A2314" s="6">
        <v>43422.175879629634</v>
      </c>
      <c r="B2314" s="7" t="str">
        <f>HYPERLINK("https://twitter.com/pinelupo","@pinelupo")</f>
        <v>@pinelupo</v>
      </c>
      <c r="C2314" s="8" t="s">
        <v>7869</v>
      </c>
      <c r="D2314" s="9" t="s">
        <v>1940</v>
      </c>
      <c r="E2314" s="10" t="str">
        <f>HYPERLINK("https://twitter.com/pinelupo/status/1064129408666165249","1064129408666165249")</f>
        <v>1064129408666165249</v>
      </c>
      <c r="F2314" s="11" t="s">
        <v>1941</v>
      </c>
      <c r="G2314" s="12"/>
      <c r="H2314" s="12"/>
      <c r="I2314" s="13">
        <v>0</v>
      </c>
      <c r="J2314" s="13">
        <v>0</v>
      </c>
      <c r="K2314" s="14" t="str">
        <f>HYPERLINK("http://www.facebook.com/twitter","Facebook")</f>
        <v>Facebook</v>
      </c>
      <c r="L2314" s="13">
        <v>118</v>
      </c>
      <c r="M2314" s="13">
        <v>170</v>
      </c>
      <c r="N2314" s="13">
        <v>5</v>
      </c>
      <c r="O2314" s="15"/>
      <c r="P2314" s="6">
        <v>40870.4059837963</v>
      </c>
      <c r="Q2314" s="17" t="s">
        <v>7870</v>
      </c>
      <c r="R2314" s="16" t="s">
        <v>7871</v>
      </c>
      <c r="S2314" s="12"/>
      <c r="T2314" s="12"/>
      <c r="U2314" s="10" t="str">
        <f>HYPERLINK("https://pbs.twimg.com/profile_images/547900564458446848/e90Tw8RS.jpeg","View")</f>
        <v>View</v>
      </c>
    </row>
    <row r="2315" spans="1:21" ht="51">
      <c r="A2315" s="6">
        <v>43422.175474537042</v>
      </c>
      <c r="B2315" s="7" t="str">
        <f>HYPERLINK("https://twitter.com/CheloOjeda3","@CheloOjeda3")</f>
        <v>@CheloOjeda3</v>
      </c>
      <c r="C2315" s="8" t="s">
        <v>7872</v>
      </c>
      <c r="D2315" s="9" t="s">
        <v>7873</v>
      </c>
      <c r="E2315" s="10" t="str">
        <f>HYPERLINK("https://twitter.com/CheloOjeda3/status/1064129262914060288","1064129262914060288")</f>
        <v>1064129262914060288</v>
      </c>
      <c r="F2315" s="11" t="s">
        <v>6778</v>
      </c>
      <c r="G2315" s="12"/>
      <c r="H2315" s="12"/>
      <c r="I2315" s="13">
        <v>0</v>
      </c>
      <c r="J2315" s="13">
        <v>0</v>
      </c>
      <c r="K2315" s="14" t="str">
        <f t="shared" ref="K2315:K2317" si="435">HYPERLINK("http://twitter.com/download/android","Twitter for Android")</f>
        <v>Twitter for Android</v>
      </c>
      <c r="L2315" s="13">
        <v>386</v>
      </c>
      <c r="M2315" s="13">
        <v>223</v>
      </c>
      <c r="N2315" s="13">
        <v>0</v>
      </c>
      <c r="O2315" s="15"/>
      <c r="P2315" s="6">
        <v>42851.57403935185</v>
      </c>
      <c r="Q2315" s="12"/>
      <c r="R2315" s="18"/>
      <c r="S2315" s="12"/>
      <c r="T2315" s="12"/>
      <c r="U2315" s="10" t="str">
        <f>HYPERLINK("https://pbs.twimg.com/profile_images/857359084466708480/7WqJe7-O.jpg","View")</f>
        <v>View</v>
      </c>
    </row>
    <row r="2316" spans="1:21" ht="51">
      <c r="A2316" s="6">
        <v>43422.170902777776</v>
      </c>
      <c r="B2316" s="7" t="str">
        <f>HYPERLINK("https://twitter.com/PiliQueribus","@PiliQueribus")</f>
        <v>@PiliQueribus</v>
      </c>
      <c r="C2316" s="8" t="s">
        <v>7874</v>
      </c>
      <c r="D2316" s="9" t="s">
        <v>7875</v>
      </c>
      <c r="E2316" s="10" t="str">
        <f>HYPERLINK("https://twitter.com/PiliQueribus/status/1064127607975878656","1064127607975878656")</f>
        <v>1064127607975878656</v>
      </c>
      <c r="F2316" s="11" t="s">
        <v>7876</v>
      </c>
      <c r="G2316" s="12"/>
      <c r="H2316" s="12"/>
      <c r="I2316" s="13">
        <v>1</v>
      </c>
      <c r="J2316" s="13">
        <v>1</v>
      </c>
      <c r="K2316" s="14" t="str">
        <f t="shared" si="435"/>
        <v>Twitter for Android</v>
      </c>
      <c r="L2316" s="13">
        <v>124</v>
      </c>
      <c r="M2316" s="13">
        <v>557</v>
      </c>
      <c r="N2316" s="13">
        <v>7</v>
      </c>
      <c r="O2316" s="15"/>
      <c r="P2316" s="6">
        <v>42186.33021990741</v>
      </c>
      <c r="Q2316" s="12"/>
      <c r="R2316" s="16" t="s">
        <v>7877</v>
      </c>
      <c r="S2316" s="12"/>
      <c r="T2316" s="12"/>
      <c r="U2316" s="10" t="str">
        <f>HYPERLINK("https://pbs.twimg.com/profile_images/1055221524888727552/e0xD69qM.jpg","View")</f>
        <v>View</v>
      </c>
    </row>
    <row r="2317" spans="1:21" ht="40.799999999999997">
      <c r="A2317" s="6">
        <v>43422.170208333337</v>
      </c>
      <c r="B2317" s="7" t="str">
        <f>HYPERLINK("https://twitter.com/ManuTorresTV","@ManuTorresTV")</f>
        <v>@ManuTorresTV</v>
      </c>
      <c r="C2317" s="8" t="s">
        <v>7878</v>
      </c>
      <c r="D2317" s="9" t="s">
        <v>7879</v>
      </c>
      <c r="E2317" s="10" t="str">
        <f>HYPERLINK("https://twitter.com/ManuTorresTV/status/1064127352412782592","1064127352412782592")</f>
        <v>1064127352412782592</v>
      </c>
      <c r="F2317" s="12"/>
      <c r="G2317" s="12"/>
      <c r="H2317" s="12"/>
      <c r="I2317" s="13">
        <v>0</v>
      </c>
      <c r="J2317" s="13">
        <v>2</v>
      </c>
      <c r="K2317" s="14" t="str">
        <f t="shared" si="435"/>
        <v>Twitter for Android</v>
      </c>
      <c r="L2317" s="13">
        <v>2198</v>
      </c>
      <c r="M2317" s="13">
        <v>1092</v>
      </c>
      <c r="N2317" s="13">
        <v>59</v>
      </c>
      <c r="O2317" s="15"/>
      <c r="P2317" s="6">
        <v>40682.358888888892</v>
      </c>
      <c r="Q2317" s="17" t="s">
        <v>7880</v>
      </c>
      <c r="R2317" s="16" t="s">
        <v>7881</v>
      </c>
      <c r="S2317" s="12"/>
      <c r="T2317" s="12"/>
      <c r="U2317" s="10" t="str">
        <f>HYPERLINK("https://pbs.twimg.com/profile_images/846846533828009984/PcxOkg6E.jpg","View")</f>
        <v>View</v>
      </c>
    </row>
    <row r="2318" spans="1:21" ht="20.399999999999999">
      <c r="A2318" s="6">
        <v>43422.17015046296</v>
      </c>
      <c r="B2318" s="7" t="str">
        <f>HYPERLINK("https://twitter.com/Alfredo_Sanes","@Alfredo_Sanes")</f>
        <v>@Alfredo_Sanes</v>
      </c>
      <c r="C2318" s="8" t="s">
        <v>7882</v>
      </c>
      <c r="D2318" s="9" t="s">
        <v>7883</v>
      </c>
      <c r="E2318" s="10" t="str">
        <f>HYPERLINK("https://twitter.com/Alfredo_Sanes/status/1064127331877429248","1064127331877429248")</f>
        <v>1064127331877429248</v>
      </c>
      <c r="F2318" s="12"/>
      <c r="G2318" s="11" t="s">
        <v>7884</v>
      </c>
      <c r="H2318" s="12"/>
      <c r="I2318" s="13">
        <v>2</v>
      </c>
      <c r="J2318" s="13">
        <v>2</v>
      </c>
      <c r="K2318" s="14" t="str">
        <f t="shared" ref="K2318:K2319" si="436">HYPERLINK("http://twitter.com/download/iphone","Twitter for iPhone")</f>
        <v>Twitter for iPhone</v>
      </c>
      <c r="L2318" s="13">
        <v>334</v>
      </c>
      <c r="M2318" s="13">
        <v>420</v>
      </c>
      <c r="N2318" s="13">
        <v>7</v>
      </c>
      <c r="O2318" s="15"/>
      <c r="P2318" s="6">
        <v>41368.46434027778</v>
      </c>
      <c r="Q2318" s="17" t="s">
        <v>7885</v>
      </c>
      <c r="R2318" s="16" t="s">
        <v>7886</v>
      </c>
      <c r="S2318" s="12"/>
      <c r="T2318" s="12"/>
      <c r="U2318" s="10" t="str">
        <f>HYPERLINK("https://pbs.twimg.com/profile_images/1035184977070239744/YjjTQQbz.jpg","View")</f>
        <v>View</v>
      </c>
    </row>
    <row r="2319" spans="1:21" ht="40.799999999999997">
      <c r="A2319" s="6">
        <v>43422.167245370365</v>
      </c>
      <c r="B2319" s="7" t="str">
        <f>HYPERLINK("https://twitter.com/AratzMaribel","@AratzMaribel")</f>
        <v>@AratzMaribel</v>
      </c>
      <c r="C2319" s="8" t="s">
        <v>7887</v>
      </c>
      <c r="D2319" s="9" t="s">
        <v>7888</v>
      </c>
      <c r="E2319" s="10" t="str">
        <f>HYPERLINK("https://twitter.com/AratzMaribel/status/1064126280684236802","1064126280684236802")</f>
        <v>1064126280684236802</v>
      </c>
      <c r="F2319" s="12"/>
      <c r="G2319" s="12"/>
      <c r="H2319" s="12"/>
      <c r="I2319" s="13">
        <v>0</v>
      </c>
      <c r="J2319" s="13">
        <v>0</v>
      </c>
      <c r="K2319" s="14" t="str">
        <f t="shared" si="436"/>
        <v>Twitter for iPhone</v>
      </c>
      <c r="L2319" s="13">
        <v>14</v>
      </c>
      <c r="M2319" s="13">
        <v>72</v>
      </c>
      <c r="N2319" s="13">
        <v>0</v>
      </c>
      <c r="O2319" s="15"/>
      <c r="P2319" s="6">
        <v>42314.083680555559</v>
      </c>
      <c r="Q2319" s="12"/>
      <c r="R2319" s="18"/>
      <c r="S2319" s="12"/>
      <c r="T2319" s="12"/>
      <c r="U2319" s="10" t="str">
        <f>HYPERLINK("https://pbs.twimg.com/profile_images/662573596510932993/xb1njZoz.jpg","View")</f>
        <v>View</v>
      </c>
    </row>
    <row r="2320" spans="1:21" ht="30.6">
      <c r="A2320" s="6">
        <v>43422.164618055554</v>
      </c>
      <c r="B2320" s="7" t="str">
        <f>HYPERLINK("https://twitter.com/jcarloslh","@jcarloslh")</f>
        <v>@jcarloslh</v>
      </c>
      <c r="C2320" s="8" t="s">
        <v>2370</v>
      </c>
      <c r="D2320" s="9" t="s">
        <v>7889</v>
      </c>
      <c r="E2320" s="10" t="str">
        <f>HYPERLINK("https://twitter.com/jcarloslh/status/1064125329957101568","1064125329957101568")</f>
        <v>1064125329957101568</v>
      </c>
      <c r="F2320" s="11" t="s">
        <v>7890</v>
      </c>
      <c r="G2320" s="12"/>
      <c r="H2320" s="12"/>
      <c r="I2320" s="13">
        <v>0</v>
      </c>
      <c r="J2320" s="13">
        <v>0</v>
      </c>
      <c r="K2320" s="14" t="str">
        <f>HYPERLINK("http://www.facebook.com/twitter","Facebook")</f>
        <v>Facebook</v>
      </c>
      <c r="L2320" s="13">
        <v>186</v>
      </c>
      <c r="M2320" s="13">
        <v>190</v>
      </c>
      <c r="N2320" s="13">
        <v>9</v>
      </c>
      <c r="O2320" s="15"/>
      <c r="P2320" s="6">
        <v>40433.54041666667</v>
      </c>
      <c r="Q2320" s="17" t="s">
        <v>29</v>
      </c>
      <c r="R2320" s="18"/>
      <c r="S2320" s="12"/>
      <c r="T2320" s="12"/>
      <c r="U2320" s="10" t="str">
        <f>HYPERLINK("https://pbs.twimg.com/profile_images/3399813895/ffa75fdcb08baf5251d475f9fca4c818.jpeg","View")</f>
        <v>View</v>
      </c>
    </row>
    <row r="2321" spans="1:21" ht="40.799999999999997">
      <c r="A2321" s="6">
        <v>43422.163240740745</v>
      </c>
      <c r="B2321" s="7" t="str">
        <f>HYPERLINK("https://twitter.com/Podemos_AND","@Podemos_AND")</f>
        <v>@Podemos_AND</v>
      </c>
      <c r="C2321" s="8" t="s">
        <v>7891</v>
      </c>
      <c r="D2321" s="9" t="s">
        <v>7892</v>
      </c>
      <c r="E2321" s="10" t="str">
        <f>HYPERLINK("https://twitter.com/Podemos_AND/status/1064124830843314176","1064124830843314176")</f>
        <v>1064124830843314176</v>
      </c>
      <c r="F2321" s="12"/>
      <c r="G2321" s="12"/>
      <c r="H2321" s="12"/>
      <c r="I2321" s="13">
        <v>17</v>
      </c>
      <c r="J2321" s="13">
        <v>23</v>
      </c>
      <c r="K2321" s="14" t="str">
        <f>HYPERLINK("https://about.twitter.com/products/tweetdeck","TweetDeck")</f>
        <v>TweetDeck</v>
      </c>
      <c r="L2321" s="13">
        <v>24124</v>
      </c>
      <c r="M2321" s="13">
        <v>623</v>
      </c>
      <c r="N2321" s="13">
        <v>295</v>
      </c>
      <c r="O2321" s="19" t="s">
        <v>74</v>
      </c>
      <c r="P2321" s="6">
        <v>42034.289039351846</v>
      </c>
      <c r="Q2321" s="17" t="s">
        <v>264</v>
      </c>
      <c r="R2321" s="16" t="s">
        <v>7893</v>
      </c>
      <c r="S2321" s="11" t="s">
        <v>7894</v>
      </c>
      <c r="T2321" s="12"/>
      <c r="U2321" s="10" t="str">
        <f>HYPERLINK("https://pbs.twimg.com/profile_images/1055878705883594753/KeR2YkP3.jpg","View")</f>
        <v>View</v>
      </c>
    </row>
    <row r="2322" spans="1:21" ht="40.799999999999997">
      <c r="A2322" s="6">
        <v>43422.162870370375</v>
      </c>
      <c r="B2322" s="7" t="str">
        <f>HYPERLINK("https://twitter.com/matasmorenojm","@matasmorenojm")</f>
        <v>@matasmorenojm</v>
      </c>
      <c r="C2322" s="8" t="s">
        <v>7895</v>
      </c>
      <c r="D2322" s="9" t="s">
        <v>7896</v>
      </c>
      <c r="E2322" s="10" t="str">
        <f>HYPERLINK("https://twitter.com/matasmorenojm/status/1064124694876565504","1064124694876565504")</f>
        <v>1064124694876565504</v>
      </c>
      <c r="F2322" s="12"/>
      <c r="G2322" s="12"/>
      <c r="H2322" s="12"/>
      <c r="I2322" s="13">
        <v>4</v>
      </c>
      <c r="J2322" s="13">
        <v>5</v>
      </c>
      <c r="K2322" s="14" t="str">
        <f>HYPERLINK("http://twitter.com","Twitter Web Client")</f>
        <v>Twitter Web Client</v>
      </c>
      <c r="L2322" s="13">
        <v>599</v>
      </c>
      <c r="M2322" s="13">
        <v>932</v>
      </c>
      <c r="N2322" s="13">
        <v>6</v>
      </c>
      <c r="O2322" s="15"/>
      <c r="P2322" s="6">
        <v>42322.11414351852</v>
      </c>
      <c r="Q2322" s="17" t="s">
        <v>7897</v>
      </c>
      <c r="R2322" s="16" t="s">
        <v>7898</v>
      </c>
      <c r="S2322" s="12"/>
      <c r="T2322" s="12"/>
      <c r="U2322" s="10" t="str">
        <f>HYPERLINK("https://pbs.twimg.com/profile_images/916663911277096960/Ert6HEYQ.jpg","View")</f>
        <v>View</v>
      </c>
    </row>
    <row r="2323" spans="1:21" ht="40.799999999999997">
      <c r="A2323" s="6">
        <v>43422.161041666666</v>
      </c>
      <c r="B2323" s="7" t="str">
        <f>HYPERLINK("https://twitter.com/CornaSIP","@CornaSIP")</f>
        <v>@CornaSIP</v>
      </c>
      <c r="C2323" s="8" t="s">
        <v>7899</v>
      </c>
      <c r="D2323" s="9" t="s">
        <v>7900</v>
      </c>
      <c r="E2323" s="10" t="str">
        <f>HYPERLINK("https://twitter.com/CornaSIP/status/1064124034235928577","1064124034235928577")</f>
        <v>1064124034235928577</v>
      </c>
      <c r="F2323" s="12"/>
      <c r="G2323" s="12"/>
      <c r="H2323" s="12"/>
      <c r="I2323" s="13">
        <v>0</v>
      </c>
      <c r="J2323" s="13">
        <v>1</v>
      </c>
      <c r="K2323" s="14" t="str">
        <f>HYPERLINK("http://twitter.com/download/android","Twitter for Android")</f>
        <v>Twitter for Android</v>
      </c>
      <c r="L2323" s="13">
        <v>811</v>
      </c>
      <c r="M2323" s="13">
        <v>526</v>
      </c>
      <c r="N2323" s="13">
        <v>19</v>
      </c>
      <c r="O2323" s="15"/>
      <c r="P2323" s="6">
        <v>40485.748287037037</v>
      </c>
      <c r="Q2323" s="17" t="s">
        <v>7901</v>
      </c>
      <c r="R2323" s="16" t="s">
        <v>7902</v>
      </c>
      <c r="S2323" s="11" t="s">
        <v>7903</v>
      </c>
      <c r="T2323" s="12"/>
      <c r="U2323" s="10" t="str">
        <f>HYPERLINK("https://pbs.twimg.com/profile_images/1035901391821328384/SFuk8zw9.jpg","View")</f>
        <v>View</v>
      </c>
    </row>
    <row r="2324" spans="1:21" ht="30.6">
      <c r="A2324" s="6">
        <v>43422.160231481481</v>
      </c>
      <c r="B2324" s="7" t="str">
        <f>HYPERLINK("https://twitter.com/nataliajunquera","@nataliajunquera")</f>
        <v>@nataliajunquera</v>
      </c>
      <c r="C2324" s="8" t="s">
        <v>7904</v>
      </c>
      <c r="D2324" s="9" t="s">
        <v>7905</v>
      </c>
      <c r="E2324" s="10" t="str">
        <f>HYPERLINK("https://twitter.com/nataliajunquera/status/1064123740936724481","1064123740936724481")</f>
        <v>1064123740936724481</v>
      </c>
      <c r="F2324" s="12"/>
      <c r="G2324" s="12"/>
      <c r="H2324" s="12"/>
      <c r="I2324" s="13">
        <v>0</v>
      </c>
      <c r="J2324" s="13">
        <v>2</v>
      </c>
      <c r="K2324" s="14" t="str">
        <f t="shared" ref="K2324:K2325" si="437">HYPERLINK("http://twitter.com","Twitter Web Client")</f>
        <v>Twitter Web Client</v>
      </c>
      <c r="L2324" s="13">
        <v>9984</v>
      </c>
      <c r="M2324" s="13">
        <v>1052</v>
      </c>
      <c r="N2324" s="13">
        <v>350</v>
      </c>
      <c r="O2324" s="15"/>
      <c r="P2324" s="6">
        <v>40622.603368055556</v>
      </c>
      <c r="Q2324" s="17" t="s">
        <v>76</v>
      </c>
      <c r="R2324" s="16" t="s">
        <v>7906</v>
      </c>
      <c r="S2324" s="11" t="s">
        <v>7907</v>
      </c>
      <c r="T2324" s="12"/>
      <c r="U2324" s="10" t="str">
        <f>HYPERLINK("https://pbs.twimg.com/profile_images/832046013674377216/X41ajgNO.jpg","View")</f>
        <v>View</v>
      </c>
    </row>
    <row r="2325" spans="1:21" ht="30.6">
      <c r="A2325" s="6">
        <v>43422.159629629634</v>
      </c>
      <c r="B2325" s="7" t="str">
        <f>HYPERLINK("https://twitter.com/alonso_dm","@alonso_dm")</f>
        <v>@alonso_dm</v>
      </c>
      <c r="C2325" s="8" t="s">
        <v>7908</v>
      </c>
      <c r="D2325" s="9" t="s">
        <v>7909</v>
      </c>
      <c r="E2325" s="10" t="str">
        <f>HYPERLINK("https://twitter.com/alonso_dm/status/1064123522526691334","1064123522526691334")</f>
        <v>1064123522526691334</v>
      </c>
      <c r="F2325" s="11" t="s">
        <v>7772</v>
      </c>
      <c r="G2325" s="12"/>
      <c r="H2325" s="12"/>
      <c r="I2325" s="13">
        <v>60</v>
      </c>
      <c r="J2325" s="13">
        <v>95</v>
      </c>
      <c r="K2325" s="14" t="str">
        <f t="shared" si="437"/>
        <v>Twitter Web Client</v>
      </c>
      <c r="L2325" s="13">
        <v>21381</v>
      </c>
      <c r="M2325" s="13">
        <v>557</v>
      </c>
      <c r="N2325" s="13">
        <v>305</v>
      </c>
      <c r="O2325" s="15"/>
      <c r="P2325" s="6">
        <v>40469.297951388886</v>
      </c>
      <c r="Q2325" s="17" t="s">
        <v>203</v>
      </c>
      <c r="R2325" s="16" t="s">
        <v>7910</v>
      </c>
      <c r="S2325" s="11" t="s">
        <v>7911</v>
      </c>
      <c r="T2325" s="12"/>
      <c r="U2325" s="10" t="str">
        <f>HYPERLINK("https://pbs.twimg.com/profile_images/966455639110275072/Z9zWwaHQ.jpg","View")</f>
        <v>View</v>
      </c>
    </row>
    <row r="2326" spans="1:21" ht="20.399999999999999">
      <c r="A2326" s="6">
        <v>43422.159537037034</v>
      </c>
      <c r="B2326" s="7" t="str">
        <f>HYPERLINK("https://twitter.com/k_zuela","@k_zuela")</f>
        <v>@k_zuela</v>
      </c>
      <c r="C2326" s="8" t="s">
        <v>7912</v>
      </c>
      <c r="D2326" s="9" t="s">
        <v>7913</v>
      </c>
      <c r="E2326" s="10" t="str">
        <f>HYPERLINK("https://twitter.com/k_zuela/status/1064123488007536640","1064123488007536640")</f>
        <v>1064123488007536640</v>
      </c>
      <c r="F2326" s="11" t="s">
        <v>7914</v>
      </c>
      <c r="G2326" s="12"/>
      <c r="H2326" s="12"/>
      <c r="I2326" s="13">
        <v>0</v>
      </c>
      <c r="J2326" s="13">
        <v>0</v>
      </c>
      <c r="K2326" s="14" t="str">
        <f>HYPERLINK("http://twitter.com/download/android","Twitter for Android")</f>
        <v>Twitter for Android</v>
      </c>
      <c r="L2326" s="13">
        <v>1350</v>
      </c>
      <c r="M2326" s="13">
        <v>1501</v>
      </c>
      <c r="N2326" s="13">
        <v>15</v>
      </c>
      <c r="O2326" s="15"/>
      <c r="P2326" s="6">
        <v>40819.497083333335</v>
      </c>
      <c r="Q2326" s="12"/>
      <c r="R2326" s="16" t="s">
        <v>7915</v>
      </c>
      <c r="S2326" s="12"/>
      <c r="T2326" s="12"/>
      <c r="U2326" s="10" t="str">
        <f>HYPERLINK("https://pbs.twimg.com/profile_images/1057438724181630976/UIqwpQh3.jpg","View")</f>
        <v>View</v>
      </c>
    </row>
    <row r="2327" spans="1:21" ht="51">
      <c r="A2327" s="6">
        <v>43422.159212962964</v>
      </c>
      <c r="B2327" s="7" t="str">
        <f>HYPERLINK("https://twitter.com/Xavier__Martin","@Xavier__Martin")</f>
        <v>@Xavier__Martin</v>
      </c>
      <c r="C2327" s="8" t="s">
        <v>7916</v>
      </c>
      <c r="D2327" s="9" t="s">
        <v>7917</v>
      </c>
      <c r="E2327" s="10" t="str">
        <f>HYPERLINK("https://twitter.com/Xavier__Martin/status/1064123370969735168","1064123370969735168")</f>
        <v>1064123370969735168</v>
      </c>
      <c r="F2327" s="11" t="s">
        <v>7918</v>
      </c>
      <c r="G2327" s="12"/>
      <c r="H2327" s="12"/>
      <c r="I2327" s="13">
        <v>0</v>
      </c>
      <c r="J2327" s="13">
        <v>1</v>
      </c>
      <c r="K2327" s="14" t="str">
        <f>HYPERLINK("http://twitter.com/download/iphone","Twitter for iPhone")</f>
        <v>Twitter for iPhone</v>
      </c>
      <c r="L2327" s="13">
        <v>526</v>
      </c>
      <c r="M2327" s="13">
        <v>1165</v>
      </c>
      <c r="N2327" s="13">
        <v>60</v>
      </c>
      <c r="O2327" s="15"/>
      <c r="P2327" s="6">
        <v>41554.391747685186</v>
      </c>
      <c r="Q2327" s="17" t="s">
        <v>7919</v>
      </c>
      <c r="R2327" s="16" t="s">
        <v>7920</v>
      </c>
      <c r="S2327" s="12"/>
      <c r="T2327" s="12"/>
      <c r="U2327" s="10" t="str">
        <f>HYPERLINK("https://pbs.twimg.com/profile_images/1043582994127163394/0oDOMBbz.jpg","View")</f>
        <v>View</v>
      </c>
    </row>
    <row r="2328" spans="1:21" ht="30.6">
      <c r="A2328" s="6">
        <v>43422.158020833333</v>
      </c>
      <c r="B2328" s="7" t="str">
        <f>HYPERLINK("https://twitter.com/GOSSETES","@GOSSETES")</f>
        <v>@GOSSETES</v>
      </c>
      <c r="C2328" s="8" t="s">
        <v>7921</v>
      </c>
      <c r="D2328" s="9" t="s">
        <v>7922</v>
      </c>
      <c r="E2328" s="10" t="str">
        <f>HYPERLINK("https://twitter.com/GOSSETES/status/1064122937249316864","1064122937249316864")</f>
        <v>1064122937249316864</v>
      </c>
      <c r="F2328" s="11" t="s">
        <v>4961</v>
      </c>
      <c r="G2328" s="12"/>
      <c r="H2328" s="12"/>
      <c r="I2328" s="13">
        <v>0</v>
      </c>
      <c r="J2328" s="13">
        <v>1</v>
      </c>
      <c r="K2328" s="14" t="str">
        <f>HYPERLINK("http://twitter.com","Twitter Web Client")</f>
        <v>Twitter Web Client</v>
      </c>
      <c r="L2328" s="13">
        <v>381</v>
      </c>
      <c r="M2328" s="13">
        <v>1510</v>
      </c>
      <c r="N2328" s="13">
        <v>16</v>
      </c>
      <c r="O2328" s="15"/>
      <c r="P2328" s="6">
        <v>40484.637141203704</v>
      </c>
      <c r="Q2328" s="17" t="s">
        <v>419</v>
      </c>
      <c r="R2328" s="16" t="s">
        <v>7923</v>
      </c>
      <c r="S2328" s="11" t="s">
        <v>7924</v>
      </c>
      <c r="T2328" s="12"/>
      <c r="U2328" s="10" t="str">
        <f>HYPERLINK("https://pbs.twimg.com/profile_images/1051057259294466048/VacUvu7F.jpg","View")</f>
        <v>View</v>
      </c>
    </row>
    <row r="2329" spans="1:21" ht="30.6">
      <c r="A2329" s="6">
        <v>43422.157048611116</v>
      </c>
      <c r="B2329" s="7" t="str">
        <f>HYPERLINK("https://twitter.com/Josevazquezcas4","@Josevazquezcas4")</f>
        <v>@Josevazquezcas4</v>
      </c>
      <c r="C2329" s="8" t="s">
        <v>7925</v>
      </c>
      <c r="D2329" s="9" t="s">
        <v>1749</v>
      </c>
      <c r="E2329" s="10" t="str">
        <f>HYPERLINK("https://twitter.com/Josevazquezcas4/status/1064122584130875393","1064122584130875393")</f>
        <v>1064122584130875393</v>
      </c>
      <c r="F2329" s="11" t="s">
        <v>2767</v>
      </c>
      <c r="G2329" s="12"/>
      <c r="H2329" s="12"/>
      <c r="I2329" s="13">
        <v>0</v>
      </c>
      <c r="J2329" s="13">
        <v>0</v>
      </c>
      <c r="K2329" s="14" t="str">
        <f>HYPERLINK("http://twitter.com/download/android","Twitter for Android")</f>
        <v>Twitter for Android</v>
      </c>
      <c r="L2329" s="13">
        <v>313</v>
      </c>
      <c r="M2329" s="13">
        <v>1523</v>
      </c>
      <c r="N2329" s="13">
        <v>0</v>
      </c>
      <c r="O2329" s="15"/>
      <c r="P2329" s="6">
        <v>42625.65625</v>
      </c>
      <c r="Q2329" s="12"/>
      <c r="R2329" s="16" t="s">
        <v>7926</v>
      </c>
      <c r="S2329" s="12"/>
      <c r="T2329" s="12"/>
      <c r="U2329" s="10" t="str">
        <f>HYPERLINK("https://pbs.twimg.com/profile_images/1058087327996743681/G2_Gmzyy.jpg","View")</f>
        <v>View</v>
      </c>
    </row>
    <row r="2330" spans="1:21" ht="61.2">
      <c r="A2330" s="6">
        <v>43422.156817129631</v>
      </c>
      <c r="B2330" s="7" t="str">
        <f>HYPERLINK("https://twitter.com/antoniosanz","@antoniosanz")</f>
        <v>@antoniosanz</v>
      </c>
      <c r="C2330" s="8" t="s">
        <v>7416</v>
      </c>
      <c r="D2330" s="9" t="s">
        <v>7823</v>
      </c>
      <c r="E2330" s="10" t="str">
        <f>HYPERLINK("https://twitter.com/antoniosanz/status/1064122500286685185","1064122500286685185")</f>
        <v>1064122500286685185</v>
      </c>
      <c r="F2330" s="12"/>
      <c r="G2330" s="11" t="s">
        <v>7824</v>
      </c>
      <c r="H2330" s="12"/>
      <c r="I2330" s="13">
        <v>18</v>
      </c>
      <c r="J2330" s="13">
        <v>54</v>
      </c>
      <c r="K2330" s="14" t="str">
        <f>HYPERLINK("http://twitter.com/download/iphone","Twitter for iPhone")</f>
        <v>Twitter for iPhone</v>
      </c>
      <c r="L2330" s="13">
        <v>17610</v>
      </c>
      <c r="M2330" s="13">
        <v>12562</v>
      </c>
      <c r="N2330" s="13">
        <v>208</v>
      </c>
      <c r="O2330" s="19" t="s">
        <v>74</v>
      </c>
      <c r="P2330" s="6">
        <v>39862.172685185185</v>
      </c>
      <c r="Q2330" s="17" t="s">
        <v>7417</v>
      </c>
      <c r="R2330" s="16" t="s">
        <v>7418</v>
      </c>
      <c r="S2330" s="11" t="s">
        <v>7419</v>
      </c>
      <c r="T2330" s="12"/>
      <c r="U2330" s="10" t="str">
        <f>HYPERLINK("https://pbs.twimg.com/profile_images/1060206735460327425/pDHC5W7-.jpg","View")</f>
        <v>View</v>
      </c>
    </row>
    <row r="2331" spans="1:21" ht="30.6">
      <c r="A2331" s="6">
        <v>43422.156388888892</v>
      </c>
      <c r="B2331" s="7" t="str">
        <f>HYPERLINK("https://twitter.com/davidmocli24","@davidmocli24")</f>
        <v>@davidmocli24</v>
      </c>
      <c r="C2331" s="8" t="s">
        <v>7927</v>
      </c>
      <c r="D2331" s="9" t="s">
        <v>7928</v>
      </c>
      <c r="E2331" s="10" t="str">
        <f>HYPERLINK("https://twitter.com/davidmocli24/status/1064122344980049921","1064122344980049921")</f>
        <v>1064122344980049921</v>
      </c>
      <c r="F2331" s="11" t="s">
        <v>5818</v>
      </c>
      <c r="G2331" s="12"/>
      <c r="H2331" s="12"/>
      <c r="I2331" s="13">
        <v>47</v>
      </c>
      <c r="J2331" s="13">
        <v>33</v>
      </c>
      <c r="K2331" s="14" t="str">
        <f>HYPERLINK("http://twitter.com","Twitter Web Client")</f>
        <v>Twitter Web Client</v>
      </c>
      <c r="L2331" s="13">
        <v>10797</v>
      </c>
      <c r="M2331" s="13">
        <v>8084</v>
      </c>
      <c r="N2331" s="13">
        <v>45</v>
      </c>
      <c r="O2331" s="15"/>
      <c r="P2331" s="6">
        <v>41930.505497685182</v>
      </c>
      <c r="Q2331" s="12"/>
      <c r="R2331" s="16" t="s">
        <v>7929</v>
      </c>
      <c r="S2331" s="11" t="s">
        <v>7930</v>
      </c>
      <c r="T2331" s="12"/>
      <c r="U2331" s="10" t="str">
        <f>HYPERLINK("https://pbs.twimg.com/profile_images/1026105158839816193/Ieg9VmNT.jpg","View")</f>
        <v>View</v>
      </c>
    </row>
    <row r="2332" spans="1:21" ht="30.6">
      <c r="A2332" s="6">
        <v>43422.155439814815</v>
      </c>
      <c r="B2332" s="7" t="str">
        <f>HYPERLINK("https://twitter.com/imuguiro","@imuguiro")</f>
        <v>@imuguiro</v>
      </c>
      <c r="C2332" s="8" t="s">
        <v>7931</v>
      </c>
      <c r="D2332" s="9" t="s">
        <v>7932</v>
      </c>
      <c r="E2332" s="10" t="str">
        <f>HYPERLINK("https://twitter.com/imuguiro/status/1064122000556339200","1064122000556339200")</f>
        <v>1064122000556339200</v>
      </c>
      <c r="F2332" s="11" t="s">
        <v>6778</v>
      </c>
      <c r="G2332" s="12"/>
      <c r="H2332" s="12"/>
      <c r="I2332" s="13">
        <v>0</v>
      </c>
      <c r="J2332" s="13">
        <v>0</v>
      </c>
      <c r="K2332" s="14" t="str">
        <f>HYPERLINK("http://twitter.com/download/iphone","Twitter for iPhone")</f>
        <v>Twitter for iPhone</v>
      </c>
      <c r="L2332" s="13">
        <v>480</v>
      </c>
      <c r="M2332" s="13">
        <v>996</v>
      </c>
      <c r="N2332" s="13">
        <v>4</v>
      </c>
      <c r="O2332" s="15"/>
      <c r="P2332" s="6">
        <v>39815.453530092593</v>
      </c>
      <c r="Q2332" s="17" t="s">
        <v>392</v>
      </c>
      <c r="R2332" s="16" t="s">
        <v>7933</v>
      </c>
      <c r="S2332" s="11" t="s">
        <v>7934</v>
      </c>
      <c r="T2332" s="12"/>
      <c r="U2332" s="10" t="str">
        <f>HYPERLINK("https://pbs.twimg.com/profile_images/957940424949338112/kEvFVYnR.jpg","View")</f>
        <v>View</v>
      </c>
    </row>
    <row r="2333" spans="1:21" ht="40.799999999999997">
      <c r="A2333" s="6">
        <v>43422.155335648145</v>
      </c>
      <c r="B2333" s="7" t="str">
        <f>HYPERLINK("https://twitter.com/asanchezn1","@asanchezn1")</f>
        <v>@asanchezn1</v>
      </c>
      <c r="C2333" s="8" t="s">
        <v>7935</v>
      </c>
      <c r="D2333" s="9" t="s">
        <v>7936</v>
      </c>
      <c r="E2333" s="10" t="str">
        <f>HYPERLINK("https://twitter.com/asanchezn1/status/1064121965215141888","1064121965215141888")</f>
        <v>1064121965215141888</v>
      </c>
      <c r="F2333" s="11" t="s">
        <v>7811</v>
      </c>
      <c r="G2333" s="12"/>
      <c r="H2333" s="12"/>
      <c r="I2333" s="13">
        <v>0</v>
      </c>
      <c r="J2333" s="13">
        <v>0</v>
      </c>
      <c r="K2333" s="14" t="str">
        <f>HYPERLINK("http://twitter.com","Twitter Web Client")</f>
        <v>Twitter Web Client</v>
      </c>
      <c r="L2333" s="13">
        <v>333</v>
      </c>
      <c r="M2333" s="13">
        <v>301</v>
      </c>
      <c r="N2333" s="13">
        <v>6</v>
      </c>
      <c r="O2333" s="15"/>
      <c r="P2333" s="6">
        <v>41323.485902777778</v>
      </c>
      <c r="Q2333" s="12"/>
      <c r="R2333" s="18"/>
      <c r="S2333" s="12"/>
      <c r="T2333" s="12"/>
      <c r="U2333" s="10" t="str">
        <f>HYPERLINK("https://pbs.twimg.com/profile_images/546757149724917761/KY62pFUx.jpeg","View")</f>
        <v>View</v>
      </c>
    </row>
    <row r="2334" spans="1:21" ht="40.799999999999997">
      <c r="A2334" s="6">
        <v>43422.154594907406</v>
      </c>
      <c r="B2334" s="7" t="str">
        <f>HYPERLINK("https://twitter.com/CristineOlav","@CristineOlav")</f>
        <v>@CristineOlav</v>
      </c>
      <c r="C2334" s="8" t="s">
        <v>7937</v>
      </c>
      <c r="D2334" s="9" t="s">
        <v>7938</v>
      </c>
      <c r="E2334" s="10" t="str">
        <f>HYPERLINK("https://twitter.com/CristineOlav/status/1064121695743721472","1064121695743721472")</f>
        <v>1064121695743721472</v>
      </c>
      <c r="F2334" s="11" t="s">
        <v>4961</v>
      </c>
      <c r="G2334" s="12"/>
      <c r="H2334" s="12"/>
      <c r="I2334" s="13">
        <v>0</v>
      </c>
      <c r="J2334" s="13">
        <v>0</v>
      </c>
      <c r="K2334" s="14" t="str">
        <f t="shared" ref="K2334:K2336" si="438">HYPERLINK("http://twitter.com/download/android","Twitter for Android")</f>
        <v>Twitter for Android</v>
      </c>
      <c r="L2334" s="13">
        <v>166</v>
      </c>
      <c r="M2334" s="13">
        <v>63</v>
      </c>
      <c r="N2334" s="13">
        <v>10</v>
      </c>
      <c r="O2334" s="15"/>
      <c r="P2334" s="6">
        <v>41064.351527777777</v>
      </c>
      <c r="Q2334" s="17" t="s">
        <v>7939</v>
      </c>
      <c r="R2334" s="16" t="s">
        <v>7940</v>
      </c>
      <c r="S2334" s="12"/>
      <c r="T2334" s="12"/>
      <c r="U2334" s="10" t="str">
        <f>HYPERLINK("https://pbs.twimg.com/profile_images/2336368604/p4raaa2zmksr2abtern0.jpeg","View")</f>
        <v>View</v>
      </c>
    </row>
    <row r="2335" spans="1:21" ht="20.399999999999999">
      <c r="A2335" s="6">
        <v>43422.152685185181</v>
      </c>
      <c r="B2335" s="7" t="str">
        <f>HYPERLINK("https://twitter.com/chin82","@chin82")</f>
        <v>@chin82</v>
      </c>
      <c r="C2335" s="8" t="s">
        <v>7941</v>
      </c>
      <c r="D2335" s="9" t="s">
        <v>7187</v>
      </c>
      <c r="E2335" s="10" t="str">
        <f>HYPERLINK("https://twitter.com/chin82/status/1064121004497297408","1064121004497297408")</f>
        <v>1064121004497297408</v>
      </c>
      <c r="F2335" s="11" t="s">
        <v>7188</v>
      </c>
      <c r="G2335" s="12"/>
      <c r="H2335" s="12"/>
      <c r="I2335" s="13">
        <v>0</v>
      </c>
      <c r="J2335" s="13">
        <v>0</v>
      </c>
      <c r="K2335" s="14" t="str">
        <f t="shared" si="438"/>
        <v>Twitter for Android</v>
      </c>
      <c r="L2335" s="13">
        <v>86</v>
      </c>
      <c r="M2335" s="13">
        <v>217</v>
      </c>
      <c r="N2335" s="13">
        <v>0</v>
      </c>
      <c r="O2335" s="15"/>
      <c r="P2335" s="6">
        <v>40502.626469907409</v>
      </c>
      <c r="Q2335" s="17" t="s">
        <v>3747</v>
      </c>
      <c r="R2335" s="18"/>
      <c r="S2335" s="12"/>
      <c r="T2335" s="12"/>
      <c r="U2335" s="10" t="str">
        <f>HYPERLINK("https://pbs.twimg.com/profile_images/2713263406/51f4f5242c91c0c7b8a3da3ed458d426.jpeg","View")</f>
        <v>View</v>
      </c>
    </row>
    <row r="2336" spans="1:21" ht="51">
      <c r="A2336" s="6">
        <v>43422.151504629626</v>
      </c>
      <c r="B2336" s="7" t="str">
        <f>HYPERLINK("https://twitter.com/EspadaRuiz","@EspadaRuiz")</f>
        <v>@EspadaRuiz</v>
      </c>
      <c r="C2336" s="8" t="s">
        <v>7942</v>
      </c>
      <c r="D2336" s="9" t="s">
        <v>7943</v>
      </c>
      <c r="E2336" s="10" t="str">
        <f>HYPERLINK("https://twitter.com/EspadaRuiz/status/1064120578251137025","1064120578251137025")</f>
        <v>1064120578251137025</v>
      </c>
      <c r="F2336" s="11" t="s">
        <v>7944</v>
      </c>
      <c r="G2336" s="12"/>
      <c r="H2336" s="12"/>
      <c r="I2336" s="13">
        <v>4</v>
      </c>
      <c r="J2336" s="13">
        <v>3</v>
      </c>
      <c r="K2336" s="14" t="str">
        <f t="shared" si="438"/>
        <v>Twitter for Android</v>
      </c>
      <c r="L2336" s="13">
        <v>349</v>
      </c>
      <c r="M2336" s="13">
        <v>520</v>
      </c>
      <c r="N2336" s="13">
        <v>2</v>
      </c>
      <c r="O2336" s="15"/>
      <c r="P2336" s="6">
        <v>41527.12663194444</v>
      </c>
      <c r="Q2336" s="12"/>
      <c r="R2336" s="16" t="s">
        <v>7945</v>
      </c>
      <c r="S2336" s="12"/>
      <c r="T2336" s="12"/>
      <c r="U2336" s="10" t="str">
        <f>HYPERLINK("https://pbs.twimg.com/profile_images/1000311110006910976/SzJoQyK8.jpg","View")</f>
        <v>View</v>
      </c>
    </row>
    <row r="2337" spans="1:21" ht="30.6">
      <c r="A2337" s="6">
        <v>43422.150706018518</v>
      </c>
      <c r="B2337" s="7" t="str">
        <f>HYPERLINK("https://twitter.com/jose_chemane111","@jose_chemane111")</f>
        <v>@jose_chemane111</v>
      </c>
      <c r="C2337" s="8" t="s">
        <v>7946</v>
      </c>
      <c r="D2337" s="9" t="s">
        <v>1749</v>
      </c>
      <c r="E2337" s="10" t="str">
        <f>HYPERLINK("https://twitter.com/jose_chemane111/status/1064120287355113472","1064120287355113472")</f>
        <v>1064120287355113472</v>
      </c>
      <c r="F2337" s="11" t="s">
        <v>2767</v>
      </c>
      <c r="G2337" s="12"/>
      <c r="H2337" s="12"/>
      <c r="I2337" s="13">
        <v>0</v>
      </c>
      <c r="J2337" s="13">
        <v>0</v>
      </c>
      <c r="K2337" s="14" t="str">
        <f t="shared" ref="K2337:K2338" si="439">HYPERLINK("http://twitter.com/download/iphone","Twitter for iPhone")</f>
        <v>Twitter for iPhone</v>
      </c>
      <c r="L2337" s="13">
        <v>326</v>
      </c>
      <c r="M2337" s="13">
        <v>658</v>
      </c>
      <c r="N2337" s="13">
        <v>4</v>
      </c>
      <c r="O2337" s="15"/>
      <c r="P2337" s="6">
        <v>41987.340798611112</v>
      </c>
      <c r="Q2337" s="12"/>
      <c r="R2337" s="16" t="s">
        <v>7947</v>
      </c>
      <c r="S2337" s="12"/>
      <c r="T2337" s="12"/>
      <c r="U2337" s="10" t="str">
        <f>HYPERLINK("https://pbs.twimg.com/profile_images/681168938781306880/FSa1Fxvs.jpg","View")</f>
        <v>View</v>
      </c>
    </row>
    <row r="2338" spans="1:21" ht="30.6">
      <c r="A2338" s="6">
        <v>43422.148587962962</v>
      </c>
      <c r="B2338" s="7" t="str">
        <f>HYPERLINK("https://twitter.com/pobretmeu","@pobretmeu")</f>
        <v>@pobretmeu</v>
      </c>
      <c r="C2338" s="8" t="s">
        <v>1125</v>
      </c>
      <c r="D2338" s="9" t="s">
        <v>7948</v>
      </c>
      <c r="E2338" s="10" t="str">
        <f>HYPERLINK("https://twitter.com/pobretmeu/status/1064119517662650369","1064119517662650369")</f>
        <v>1064119517662650369</v>
      </c>
      <c r="F2338" s="12"/>
      <c r="G2338" s="11" t="s">
        <v>7949</v>
      </c>
      <c r="H2338" s="12"/>
      <c r="I2338" s="13">
        <v>0</v>
      </c>
      <c r="J2338" s="13">
        <v>0</v>
      </c>
      <c r="K2338" s="14" t="str">
        <f t="shared" si="439"/>
        <v>Twitter for iPhone</v>
      </c>
      <c r="L2338" s="13">
        <v>37</v>
      </c>
      <c r="M2338" s="13">
        <v>58</v>
      </c>
      <c r="N2338" s="13">
        <v>0</v>
      </c>
      <c r="O2338" s="15"/>
      <c r="P2338" s="6">
        <v>43385.556863425925</v>
      </c>
      <c r="Q2338" s="17" t="s">
        <v>7640</v>
      </c>
      <c r="R2338" s="18"/>
      <c r="S2338" s="12"/>
      <c r="T2338" s="12"/>
      <c r="U2338" s="10" t="str">
        <f>HYPERLINK("https://pbs.twimg.com/profile_images/1063216975474814976/zDMwoIrJ.jpg","View")</f>
        <v>View</v>
      </c>
    </row>
    <row r="2339" spans="1:21" ht="40.799999999999997">
      <c r="A2339" s="6">
        <v>43422.147905092592</v>
      </c>
      <c r="B2339" s="7" t="str">
        <f>HYPERLINK("https://twitter.com/nataliajunquera","@nataliajunquera")</f>
        <v>@nataliajunquera</v>
      </c>
      <c r="C2339" s="8" t="s">
        <v>7904</v>
      </c>
      <c r="D2339" s="9" t="s">
        <v>7950</v>
      </c>
      <c r="E2339" s="10" t="str">
        <f>HYPERLINK("https://twitter.com/nataliajunquera/status/1064119272354525184","1064119272354525184")</f>
        <v>1064119272354525184</v>
      </c>
      <c r="F2339" s="12"/>
      <c r="G2339" s="12"/>
      <c r="H2339" s="12"/>
      <c r="I2339" s="13">
        <v>0</v>
      </c>
      <c r="J2339" s="13">
        <v>0</v>
      </c>
      <c r="K2339" s="14" t="str">
        <f>HYPERLINK("http://twitter.com","Twitter Web Client")</f>
        <v>Twitter Web Client</v>
      </c>
      <c r="L2339" s="13">
        <v>9984</v>
      </c>
      <c r="M2339" s="13">
        <v>1052</v>
      </c>
      <c r="N2339" s="13">
        <v>350</v>
      </c>
      <c r="O2339" s="15"/>
      <c r="P2339" s="6">
        <v>40622.603368055556</v>
      </c>
      <c r="Q2339" s="17" t="s">
        <v>76</v>
      </c>
      <c r="R2339" s="16" t="s">
        <v>7906</v>
      </c>
      <c r="S2339" s="11" t="s">
        <v>7907</v>
      </c>
      <c r="T2339" s="12"/>
      <c r="U2339" s="10" t="str">
        <f>HYPERLINK("https://pbs.twimg.com/profile_images/832046013674377216/X41ajgNO.jpg","View")</f>
        <v>View</v>
      </c>
    </row>
    <row r="2340" spans="1:21" ht="13.2">
      <c r="A2340" s="6">
        <v>43422.144409722227</v>
      </c>
      <c r="B2340" s="7" t="str">
        <f>HYPERLINK("https://twitter.com/MrPeggit","@MrPeggit")</f>
        <v>@MrPeggit</v>
      </c>
      <c r="C2340" s="8" t="s">
        <v>7951</v>
      </c>
      <c r="D2340" s="9" t="s">
        <v>7952</v>
      </c>
      <c r="E2340" s="10" t="str">
        <f>HYPERLINK("https://twitter.com/MrPeggit/status/1064118006723284992","1064118006723284992")</f>
        <v>1064118006723284992</v>
      </c>
      <c r="F2340" s="11" t="s">
        <v>6099</v>
      </c>
      <c r="G2340" s="12"/>
      <c r="H2340" s="12"/>
      <c r="I2340" s="13">
        <v>0</v>
      </c>
      <c r="J2340" s="13">
        <v>0</v>
      </c>
      <c r="K2340" s="14" t="str">
        <f t="shared" ref="K2340:K2341" si="440">HYPERLINK("http://twitter.com/download/android","Twitter for Android")</f>
        <v>Twitter for Android</v>
      </c>
      <c r="L2340" s="13">
        <v>1067</v>
      </c>
      <c r="M2340" s="13">
        <v>2187</v>
      </c>
      <c r="N2340" s="13">
        <v>4</v>
      </c>
      <c r="O2340" s="15"/>
      <c r="P2340" s="6">
        <v>42130.524386574078</v>
      </c>
      <c r="Q2340" s="17" t="s">
        <v>3762</v>
      </c>
      <c r="R2340" s="16" t="s">
        <v>7953</v>
      </c>
      <c r="S2340" s="12"/>
      <c r="T2340" s="12"/>
      <c r="U2340" s="10" t="str">
        <f>HYPERLINK("https://pbs.twimg.com/profile_images/1034808947310559233/EvIqsObt.jpg","View")</f>
        <v>View</v>
      </c>
    </row>
    <row r="2341" spans="1:21" ht="81.599999999999994">
      <c r="A2341" s="6">
        <v>43422.143321759257</v>
      </c>
      <c r="B2341" s="7" t="str">
        <f>HYPERLINK("https://twitter.com/Konspyrenayko","@Konspyrenayko")</f>
        <v>@Konspyrenayko</v>
      </c>
      <c r="C2341" s="8" t="s">
        <v>7954</v>
      </c>
      <c r="D2341" s="9" t="s">
        <v>7955</v>
      </c>
      <c r="E2341" s="10" t="str">
        <f>HYPERLINK("https://twitter.com/Konspyrenayko/status/1064117609552060416","1064117609552060416")</f>
        <v>1064117609552060416</v>
      </c>
      <c r="F2341" s="11" t="s">
        <v>7956</v>
      </c>
      <c r="G2341" s="12"/>
      <c r="H2341" s="12"/>
      <c r="I2341" s="13">
        <v>0</v>
      </c>
      <c r="J2341" s="13">
        <v>5</v>
      </c>
      <c r="K2341" s="14" t="str">
        <f t="shared" si="440"/>
        <v>Twitter for Android</v>
      </c>
      <c r="L2341" s="13">
        <v>5821</v>
      </c>
      <c r="M2341" s="13">
        <v>1339</v>
      </c>
      <c r="N2341" s="13">
        <v>71</v>
      </c>
      <c r="O2341" s="15"/>
      <c r="P2341" s="6">
        <v>42006.264224537037</v>
      </c>
      <c r="Q2341" s="17" t="s">
        <v>7957</v>
      </c>
      <c r="R2341" s="16" t="s">
        <v>7958</v>
      </c>
      <c r="S2341" s="12"/>
      <c r="T2341" s="12"/>
      <c r="U2341" s="10" t="str">
        <f>HYPERLINK("https://pbs.twimg.com/profile_images/1062395113270329344/B8ZL0iTS.jpg","View")</f>
        <v>View</v>
      </c>
    </row>
    <row r="2342" spans="1:21" ht="20.399999999999999">
      <c r="A2342" s="6">
        <v>43422.143206018518</v>
      </c>
      <c r="B2342" s="7" t="str">
        <f>HYPERLINK("https://twitter.com/ArriagaJPablo","@ArriagaJPablo")</f>
        <v>@ArriagaJPablo</v>
      </c>
      <c r="C2342" s="8" t="s">
        <v>7959</v>
      </c>
      <c r="D2342" s="9" t="s">
        <v>7960</v>
      </c>
      <c r="E2342" s="10" t="str">
        <f>HYPERLINK("https://twitter.com/ArriagaJPablo/status/1064117568959627264","1064117568959627264")</f>
        <v>1064117568959627264</v>
      </c>
      <c r="F2342" s="12"/>
      <c r="G2342" s="11" t="s">
        <v>7961</v>
      </c>
      <c r="H2342" s="12"/>
      <c r="I2342" s="13">
        <v>0</v>
      </c>
      <c r="J2342" s="13">
        <v>2</v>
      </c>
      <c r="K2342" s="14" t="str">
        <f>HYPERLINK("http://twitter.com/download/iphone","Twitter for iPhone")</f>
        <v>Twitter for iPhone</v>
      </c>
      <c r="L2342" s="13">
        <v>91</v>
      </c>
      <c r="M2342" s="13">
        <v>162</v>
      </c>
      <c r="N2342" s="13">
        <v>0</v>
      </c>
      <c r="O2342" s="15"/>
      <c r="P2342" s="6">
        <v>42964.562824074077</v>
      </c>
      <c r="Q2342" s="17" t="s">
        <v>7962</v>
      </c>
      <c r="R2342" s="16" t="s">
        <v>7963</v>
      </c>
      <c r="S2342" s="12"/>
      <c r="T2342" s="12"/>
      <c r="U2342" s="10" t="str">
        <f>HYPERLINK("https://pbs.twimg.com/profile_images/898282331928223744/WgzcGM-Y.jpg","View")</f>
        <v>View</v>
      </c>
    </row>
    <row r="2343" spans="1:21" ht="51">
      <c r="A2343" s="6">
        <v>43422.140011574069</v>
      </c>
      <c r="B2343" s="7" t="str">
        <f>HYPERLINK("https://twitter.com/CorsarioScout","@CorsarioScout")</f>
        <v>@CorsarioScout</v>
      </c>
      <c r="C2343" s="8" t="s">
        <v>1721</v>
      </c>
      <c r="D2343" s="9" t="s">
        <v>7853</v>
      </c>
      <c r="E2343" s="10" t="str">
        <f>HYPERLINK("https://twitter.com/CorsarioScout/status/1064116411361083393","1064116411361083393")</f>
        <v>1064116411361083393</v>
      </c>
      <c r="F2343" s="11" t="s">
        <v>6778</v>
      </c>
      <c r="G2343" s="12"/>
      <c r="H2343" s="12"/>
      <c r="I2343" s="13">
        <v>1</v>
      </c>
      <c r="J2343" s="13">
        <v>1</v>
      </c>
      <c r="K2343" s="14" t="str">
        <f>HYPERLINK("http://twitter.com","Twitter Web Client")</f>
        <v>Twitter Web Client</v>
      </c>
      <c r="L2343" s="13">
        <v>250</v>
      </c>
      <c r="M2343" s="13">
        <v>376</v>
      </c>
      <c r="N2343" s="13">
        <v>2</v>
      </c>
      <c r="O2343" s="15"/>
      <c r="P2343" s="6">
        <v>41138.271597222221</v>
      </c>
      <c r="Q2343" s="17" t="s">
        <v>1724</v>
      </c>
      <c r="R2343" s="16" t="s">
        <v>1725</v>
      </c>
      <c r="S2343" s="12"/>
      <c r="T2343" s="12"/>
      <c r="U2343" s="10" t="str">
        <f>HYPERLINK("https://pbs.twimg.com/profile_images/1055860612448837632/oAocJrOe.jpg","View")</f>
        <v>View</v>
      </c>
    </row>
    <row r="2344" spans="1:21" ht="30.6">
      <c r="A2344" s="6">
        <v>43422.138310185182</v>
      </c>
      <c r="B2344" s="7" t="str">
        <f>HYPERLINK("https://twitter.com/alugris","@alugris")</f>
        <v>@alugris</v>
      </c>
      <c r="C2344" s="8" t="s">
        <v>7964</v>
      </c>
      <c r="D2344" s="9" t="s">
        <v>7965</v>
      </c>
      <c r="E2344" s="10" t="str">
        <f>HYPERLINK("https://twitter.com/alugris/status/1064115793527533569","1064115793527533569")</f>
        <v>1064115793527533569</v>
      </c>
      <c r="F2344" s="11" t="s">
        <v>4961</v>
      </c>
      <c r="G2344" s="12"/>
      <c r="H2344" s="12"/>
      <c r="I2344" s="13">
        <v>0</v>
      </c>
      <c r="J2344" s="13">
        <v>1</v>
      </c>
      <c r="K2344" s="14" t="str">
        <f>HYPERLINK("http://twitter.com/#!/download/ipad","Twitter for iPad")</f>
        <v>Twitter for iPad</v>
      </c>
      <c r="L2344" s="13">
        <v>1661</v>
      </c>
      <c r="M2344" s="13">
        <v>1054</v>
      </c>
      <c r="N2344" s="13">
        <v>83</v>
      </c>
      <c r="O2344" s="15"/>
      <c r="P2344" s="6">
        <v>39972.612928240742</v>
      </c>
      <c r="Q2344" s="17" t="s">
        <v>1071</v>
      </c>
      <c r="R2344" s="16" t="s">
        <v>7966</v>
      </c>
      <c r="S2344" s="11" t="s">
        <v>7967</v>
      </c>
      <c r="T2344" s="12"/>
      <c r="U2344" s="10" t="str">
        <f>HYPERLINK("https://pbs.twimg.com/profile_images/884534487211806721/CKprT4Mz.jpg","View")</f>
        <v>View</v>
      </c>
    </row>
    <row r="2345" spans="1:21" ht="30.6">
      <c r="A2345" s="6">
        <v>43422.13789351852</v>
      </c>
      <c r="B2345" s="7" t="str">
        <f>HYPERLINK("https://twitter.com/fromtheTartarus","@fromtheTartarus")</f>
        <v>@fromtheTartarus</v>
      </c>
      <c r="C2345" s="8" t="s">
        <v>2073</v>
      </c>
      <c r="D2345" s="9" t="s">
        <v>7968</v>
      </c>
      <c r="E2345" s="10" t="str">
        <f>HYPERLINK("https://twitter.com/fromtheTartarus/status/1064115642142547968","1064115642142547968")</f>
        <v>1064115642142547968</v>
      </c>
      <c r="F2345" s="12"/>
      <c r="G2345" s="12"/>
      <c r="H2345" s="12"/>
      <c r="I2345" s="13">
        <v>0</v>
      </c>
      <c r="J2345" s="13">
        <v>0</v>
      </c>
      <c r="K2345" s="14" t="str">
        <f t="shared" ref="K2345:K2347" si="441">HYPERLINK("http://twitter.com/download/android","Twitter for Android")</f>
        <v>Twitter for Android</v>
      </c>
      <c r="L2345" s="13">
        <v>1317</v>
      </c>
      <c r="M2345" s="13">
        <v>1331</v>
      </c>
      <c r="N2345" s="13">
        <v>0</v>
      </c>
      <c r="O2345" s="15"/>
      <c r="P2345" s="6">
        <v>41490.311990740738</v>
      </c>
      <c r="Q2345" s="12"/>
      <c r="R2345" s="16" t="s">
        <v>2075</v>
      </c>
      <c r="S2345" s="12"/>
      <c r="T2345" s="12"/>
      <c r="U2345" s="10" t="str">
        <f>HYPERLINK("https://pbs.twimg.com/profile_images/1053912689972523008/kZhxHvEO.jpg","View")</f>
        <v>View</v>
      </c>
    </row>
    <row r="2346" spans="1:21" ht="51">
      <c r="A2346" s="6">
        <v>43422.137615740736</v>
      </c>
      <c r="B2346" s="7" t="str">
        <f>HYPERLINK("https://twitter.com/MMartinsobi","@MMartinsobi")</f>
        <v>@MMartinsobi</v>
      </c>
      <c r="C2346" s="8" t="s">
        <v>7969</v>
      </c>
      <c r="D2346" s="9" t="s">
        <v>7970</v>
      </c>
      <c r="E2346" s="10" t="str">
        <f>HYPERLINK("https://twitter.com/MMartinsobi/status/1064115544864014337","1064115544864014337")</f>
        <v>1064115544864014337</v>
      </c>
      <c r="F2346" s="12"/>
      <c r="G2346" s="12"/>
      <c r="H2346" s="12"/>
      <c r="I2346" s="13">
        <v>0</v>
      </c>
      <c r="J2346" s="13">
        <v>0</v>
      </c>
      <c r="K2346" s="14" t="str">
        <f t="shared" si="441"/>
        <v>Twitter for Android</v>
      </c>
      <c r="L2346" s="13">
        <v>153</v>
      </c>
      <c r="M2346" s="13">
        <v>192</v>
      </c>
      <c r="N2346" s="13">
        <v>2</v>
      </c>
      <c r="O2346" s="15"/>
      <c r="P2346" s="6">
        <v>41555.492175925923</v>
      </c>
      <c r="Q2346" s="17" t="s">
        <v>143</v>
      </c>
      <c r="R2346" s="16" t="s">
        <v>7971</v>
      </c>
      <c r="S2346" s="12"/>
      <c r="T2346" s="12"/>
      <c r="U2346" s="10" t="str">
        <f>HYPERLINK("https://pbs.twimg.com/profile_images/727463115076603904/Ieg4kYyw.jpg","View")</f>
        <v>View</v>
      </c>
    </row>
    <row r="2347" spans="1:21" ht="51">
      <c r="A2347" s="6">
        <v>43422.137604166666</v>
      </c>
      <c r="B2347" s="7" t="str">
        <f>HYPERLINK("https://twitter.com/MarcGarciaSole1","@MarcGarciaSole1")</f>
        <v>@MarcGarciaSole1</v>
      </c>
      <c r="C2347" s="8" t="s">
        <v>7972</v>
      </c>
      <c r="D2347" s="9" t="s">
        <v>7973</v>
      </c>
      <c r="E2347" s="10" t="str">
        <f>HYPERLINK("https://twitter.com/MarcGarciaSole1/status/1064115540594176000","1064115540594176000")</f>
        <v>1064115540594176000</v>
      </c>
      <c r="F2347" s="12"/>
      <c r="G2347" s="12"/>
      <c r="H2347" s="12"/>
      <c r="I2347" s="13">
        <v>0</v>
      </c>
      <c r="J2347" s="13">
        <v>0</v>
      </c>
      <c r="K2347" s="14" t="str">
        <f t="shared" si="441"/>
        <v>Twitter for Android</v>
      </c>
      <c r="L2347" s="13">
        <v>164</v>
      </c>
      <c r="M2347" s="13">
        <v>356</v>
      </c>
      <c r="N2347" s="13">
        <v>1</v>
      </c>
      <c r="O2347" s="15"/>
      <c r="P2347" s="6">
        <v>43071.635833333334</v>
      </c>
      <c r="Q2347" s="17" t="s">
        <v>7974</v>
      </c>
      <c r="R2347" s="16" t="s">
        <v>7975</v>
      </c>
      <c r="S2347" s="12"/>
      <c r="T2347" s="12"/>
      <c r="U2347" s="10" t="str">
        <f>HYPERLINK("https://pbs.twimg.com/profile_images/977695961714700289/vEeA2jMN.jpg","View")</f>
        <v>View</v>
      </c>
    </row>
    <row r="2348" spans="1:21" ht="20.399999999999999">
      <c r="A2348" s="6">
        <v>43422.137245370366</v>
      </c>
      <c r="B2348" s="7" t="str">
        <f>HYPERLINK("https://twitter.com/yipeich","@yipeich")</f>
        <v>@yipeich</v>
      </c>
      <c r="C2348" s="8" t="s">
        <v>7976</v>
      </c>
      <c r="D2348" s="9" t="s">
        <v>7977</v>
      </c>
      <c r="E2348" s="10" t="str">
        <f>HYPERLINK("https://twitter.com/yipeich/status/1064115407840321536","1064115407840321536")</f>
        <v>1064115407840321536</v>
      </c>
      <c r="F2348" s="12"/>
      <c r="G2348" s="12"/>
      <c r="H2348" s="12"/>
      <c r="I2348" s="13">
        <v>0</v>
      </c>
      <c r="J2348" s="13">
        <v>1</v>
      </c>
      <c r="K2348" s="14" t="str">
        <f>HYPERLINK("https://mobile.twitter.com","Twitter Lite")</f>
        <v>Twitter Lite</v>
      </c>
      <c r="L2348" s="13">
        <v>1090</v>
      </c>
      <c r="M2348" s="13">
        <v>382</v>
      </c>
      <c r="N2348" s="13">
        <v>34</v>
      </c>
      <c r="O2348" s="15"/>
      <c r="P2348" s="6">
        <v>42102.126840277779</v>
      </c>
      <c r="Q2348" s="17" t="s">
        <v>7978</v>
      </c>
      <c r="R2348" s="16" t="s">
        <v>7979</v>
      </c>
      <c r="S2348" s="11" t="s">
        <v>7980</v>
      </c>
      <c r="T2348" s="12"/>
      <c r="U2348" s="10" t="str">
        <f>HYPERLINK("https://pbs.twimg.com/profile_images/1050008034100023297/nn7Nx_6l.jpg","View")</f>
        <v>View</v>
      </c>
    </row>
    <row r="2349" spans="1:21" ht="30.6">
      <c r="A2349" s="6">
        <v>43422.137222222227</v>
      </c>
      <c r="B2349" s="7" t="str">
        <f>HYPERLINK("https://twitter.com/SergioRM55","@SergioRM55")</f>
        <v>@SergioRM55</v>
      </c>
      <c r="C2349" s="8" t="s">
        <v>7981</v>
      </c>
      <c r="D2349" s="9" t="s">
        <v>7982</v>
      </c>
      <c r="E2349" s="10" t="str">
        <f>HYPERLINK("https://twitter.com/SergioRM55/status/1064115398650576896","1064115398650576896")</f>
        <v>1064115398650576896</v>
      </c>
      <c r="F2349" s="12"/>
      <c r="G2349" s="11" t="s">
        <v>7983</v>
      </c>
      <c r="H2349" s="12"/>
      <c r="I2349" s="13">
        <v>5</v>
      </c>
      <c r="J2349" s="13">
        <v>9</v>
      </c>
      <c r="K2349" s="14" t="str">
        <f>HYPERLINK("http://twitter.com/download/android","Twitter for Android")</f>
        <v>Twitter for Android</v>
      </c>
      <c r="L2349" s="13">
        <v>41</v>
      </c>
      <c r="M2349" s="13">
        <v>65</v>
      </c>
      <c r="N2349" s="13">
        <v>0</v>
      </c>
      <c r="O2349" s="15"/>
      <c r="P2349" s="6">
        <v>42741.375844907408</v>
      </c>
      <c r="Q2349" s="17" t="s">
        <v>7984</v>
      </c>
      <c r="R2349" s="16" t="s">
        <v>7985</v>
      </c>
      <c r="S2349" s="12"/>
      <c r="T2349" s="12"/>
      <c r="U2349" s="10" t="str">
        <f>HYPERLINK("https://pbs.twimg.com/profile_images/1005185661073264640/uFCo1Jvo.jpg","View")</f>
        <v>View</v>
      </c>
    </row>
    <row r="2350" spans="1:21" ht="30.6">
      <c r="A2350" s="6">
        <v>43422.135567129633</v>
      </c>
      <c r="B2350" s="7" t="str">
        <f>HYPERLINK("https://twitter.com/VictorMCasco","@VictorMCasco")</f>
        <v>@VictorMCasco</v>
      </c>
      <c r="C2350" s="8" t="s">
        <v>7986</v>
      </c>
      <c r="D2350" s="9" t="s">
        <v>7987</v>
      </c>
      <c r="E2350" s="10" t="str">
        <f>HYPERLINK("https://twitter.com/VictorMCasco/status/1064114802631630851","1064114802631630851")</f>
        <v>1064114802631630851</v>
      </c>
      <c r="F2350" s="11" t="s">
        <v>4961</v>
      </c>
      <c r="G2350" s="12"/>
      <c r="H2350" s="12"/>
      <c r="I2350" s="13">
        <v>0</v>
      </c>
      <c r="J2350" s="13">
        <v>0</v>
      </c>
      <c r="K2350" s="14" t="str">
        <f t="shared" ref="K2350:K2351" si="442">HYPERLINK("http://twitter.com/download/iphone","Twitter for iPhone")</f>
        <v>Twitter for iPhone</v>
      </c>
      <c r="L2350" s="13">
        <v>4294</v>
      </c>
      <c r="M2350" s="13">
        <v>1535</v>
      </c>
      <c r="N2350" s="13">
        <v>103</v>
      </c>
      <c r="O2350" s="15"/>
      <c r="P2350" s="6">
        <v>40749.035844907405</v>
      </c>
      <c r="Q2350" s="17" t="s">
        <v>7988</v>
      </c>
      <c r="R2350" s="16" t="s">
        <v>7989</v>
      </c>
      <c r="S2350" s="12"/>
      <c r="T2350" s="12"/>
      <c r="U2350" s="10" t="str">
        <f>HYPERLINK("https://pbs.twimg.com/profile_images/879038677216841728/tOh8BlTS.jpg","View")</f>
        <v>View</v>
      </c>
    </row>
    <row r="2351" spans="1:21" ht="30.6">
      <c r="A2351" s="6">
        <v>43422.134560185186</v>
      </c>
      <c r="B2351" s="7" t="str">
        <f>HYPERLINK("https://twitter.com/boye_g","@boye_g")</f>
        <v>@boye_g</v>
      </c>
      <c r="C2351" s="8" t="s">
        <v>7990</v>
      </c>
      <c r="D2351" s="9" t="s">
        <v>7991</v>
      </c>
      <c r="E2351" s="10" t="str">
        <f>HYPERLINK("https://twitter.com/boye_g/status/1064114436984766464","1064114436984766464")</f>
        <v>1064114436984766464</v>
      </c>
      <c r="F2351" s="17" t="s">
        <v>7992</v>
      </c>
      <c r="G2351" s="12"/>
      <c r="H2351" s="12"/>
      <c r="I2351" s="13">
        <v>282</v>
      </c>
      <c r="J2351" s="13">
        <v>838</v>
      </c>
      <c r="K2351" s="14" t="str">
        <f t="shared" si="442"/>
        <v>Twitter for iPhone</v>
      </c>
      <c r="L2351" s="13">
        <v>122492</v>
      </c>
      <c r="M2351" s="13">
        <v>692</v>
      </c>
      <c r="N2351" s="13">
        <v>799</v>
      </c>
      <c r="O2351" s="19" t="s">
        <v>74</v>
      </c>
      <c r="P2351" s="6">
        <v>40992.071342592593</v>
      </c>
      <c r="Q2351" s="12"/>
      <c r="R2351" s="16" t="s">
        <v>7993</v>
      </c>
      <c r="S2351" s="11" t="s">
        <v>7994</v>
      </c>
      <c r="T2351" s="12"/>
      <c r="U2351" s="10" t="str">
        <f>HYPERLINK("https://pbs.twimg.com/profile_images/378800000594264491/01355483f4ed9cc2ba816124cfd4aa8d.jpeg","View")</f>
        <v>View</v>
      </c>
    </row>
    <row r="2352" spans="1:21" ht="20.399999999999999">
      <c r="A2352" s="6">
        <v>43422.133680555555</v>
      </c>
      <c r="B2352" s="7" t="str">
        <f>HYPERLINK("https://twitter.com/1789Libertario","@1789Libertario")</f>
        <v>@1789Libertario</v>
      </c>
      <c r="C2352" s="8" t="s">
        <v>7995</v>
      </c>
      <c r="D2352" s="9" t="s">
        <v>7996</v>
      </c>
      <c r="E2352" s="10" t="str">
        <f>HYPERLINK("https://twitter.com/1789Libertario/status/1064114115940098048","1064114115940098048")</f>
        <v>1064114115940098048</v>
      </c>
      <c r="F2352" s="11" t="s">
        <v>7997</v>
      </c>
      <c r="G2352" s="12"/>
      <c r="H2352" s="12"/>
      <c r="I2352" s="13">
        <v>0</v>
      </c>
      <c r="J2352" s="13">
        <v>0</v>
      </c>
      <c r="K2352" s="14" t="str">
        <f>HYPERLINK("http://twitter.com/download/android","Twitter for Android")</f>
        <v>Twitter for Android</v>
      </c>
      <c r="L2352" s="13">
        <v>430</v>
      </c>
      <c r="M2352" s="13">
        <v>683</v>
      </c>
      <c r="N2352" s="13">
        <v>3</v>
      </c>
      <c r="O2352" s="15"/>
      <c r="P2352" s="6">
        <v>41918.173611111109</v>
      </c>
      <c r="Q2352" s="12"/>
      <c r="R2352" s="16" t="s">
        <v>7998</v>
      </c>
      <c r="S2352" s="12"/>
      <c r="T2352" s="12"/>
      <c r="U2352" s="10" t="str">
        <f>HYPERLINK("https://pbs.twimg.com/profile_images/1016701535517052928/lAdZkxH1.jpg","View")</f>
        <v>View</v>
      </c>
    </row>
    <row r="2353" spans="1:21" ht="51">
      <c r="A2353" s="6">
        <v>43422.1324537037</v>
      </c>
      <c r="B2353" s="7" t="str">
        <f>HYPERLINK("https://twitter.com/Plumaroja20","@Plumaroja20")</f>
        <v>@Plumaroja20</v>
      </c>
      <c r="C2353" s="8" t="s">
        <v>7999</v>
      </c>
      <c r="D2353" s="9" t="s">
        <v>8000</v>
      </c>
      <c r="E2353" s="10" t="str">
        <f>HYPERLINK("https://twitter.com/Plumaroja20/status/1064113673764040704","1064113673764040704")</f>
        <v>1064113673764040704</v>
      </c>
      <c r="F2353" s="12"/>
      <c r="G2353" s="11" t="s">
        <v>8001</v>
      </c>
      <c r="H2353" s="12"/>
      <c r="I2353" s="13">
        <v>12</v>
      </c>
      <c r="J2353" s="13">
        <v>10</v>
      </c>
      <c r="K2353" s="14" t="str">
        <f>HYPERLINK("http://twitter.com","Twitter Web Client")</f>
        <v>Twitter Web Client</v>
      </c>
      <c r="L2353" s="13">
        <v>6888</v>
      </c>
      <c r="M2353" s="13">
        <v>5763</v>
      </c>
      <c r="N2353" s="13">
        <v>59</v>
      </c>
      <c r="O2353" s="15"/>
      <c r="P2353" s="6">
        <v>40727.207638888889</v>
      </c>
      <c r="Q2353" s="17" t="s">
        <v>8004</v>
      </c>
      <c r="R2353" s="16" t="s">
        <v>8005</v>
      </c>
      <c r="S2353" s="11" t="s">
        <v>8006</v>
      </c>
      <c r="T2353" s="12"/>
      <c r="U2353" s="10" t="str">
        <f>HYPERLINK("https://pbs.twimg.com/profile_images/1063871100017348609/DZ1St3JU.jpg","View")</f>
        <v>View</v>
      </c>
    </row>
    <row r="2354" spans="1:21" ht="40.799999999999997">
      <c r="A2354" s="6">
        <v>43422.129259259258</v>
      </c>
      <c r="B2354" s="7" t="str">
        <f>HYPERLINK("https://twitter.com/CVillasante1","@CVillasante1")</f>
        <v>@CVillasante1</v>
      </c>
      <c r="C2354" s="8" t="s">
        <v>7176</v>
      </c>
      <c r="D2354" s="9" t="s">
        <v>8009</v>
      </c>
      <c r="E2354" s="10" t="str">
        <f>HYPERLINK("https://twitter.com/CVillasante1/status/1064112514848473088","1064112514848473088")</f>
        <v>1064112514848473088</v>
      </c>
      <c r="F2354" s="12"/>
      <c r="G2354" s="12"/>
      <c r="H2354" s="12"/>
      <c r="I2354" s="13">
        <v>0</v>
      </c>
      <c r="J2354" s="13">
        <v>0</v>
      </c>
      <c r="K2354" s="14" t="str">
        <f>HYPERLINK("http://twitter.com/download/android","Twitter for Android")</f>
        <v>Twitter for Android</v>
      </c>
      <c r="L2354" s="13">
        <v>453</v>
      </c>
      <c r="M2354" s="13">
        <v>1600</v>
      </c>
      <c r="N2354" s="13">
        <v>6</v>
      </c>
      <c r="O2354" s="15"/>
      <c r="P2354" s="6">
        <v>40987.139884259261</v>
      </c>
      <c r="Q2354" s="17" t="s">
        <v>29</v>
      </c>
      <c r="R2354" s="16" t="s">
        <v>7179</v>
      </c>
      <c r="S2354" s="12"/>
      <c r="T2354" s="12"/>
      <c r="U2354" s="10" t="str">
        <f>HYPERLINK("https://pbs.twimg.com/profile_images/827804639072514048/4UtaQCCO.jpg","View")</f>
        <v>View</v>
      </c>
    </row>
    <row r="2355" spans="1:21" ht="30.6">
      <c r="A2355" s="6">
        <v>43422.12903935185</v>
      </c>
      <c r="B2355" s="7" t="str">
        <f>HYPERLINK("https://twitter.com/jmalvarezblog","@jmalvarezblog")</f>
        <v>@jmalvarezblog</v>
      </c>
      <c r="C2355" s="8" t="s">
        <v>34</v>
      </c>
      <c r="D2355" s="9" t="s">
        <v>8010</v>
      </c>
      <c r="E2355" s="10" t="str">
        <f>HYPERLINK("https://twitter.com/jmalvarezblog/status/1064112436603756545","1064112436603756545")</f>
        <v>1064112436603756545</v>
      </c>
      <c r="F2355" s="11" t="s">
        <v>8011</v>
      </c>
      <c r="G2355" s="12"/>
      <c r="H2355" s="12"/>
      <c r="I2355" s="13">
        <v>0</v>
      </c>
      <c r="J2355" s="13">
        <v>0</v>
      </c>
      <c r="K2355" s="14" t="str">
        <f>HYPERLINK("http://twitter.com","Twitter Web Client")</f>
        <v>Twitter Web Client</v>
      </c>
      <c r="L2355" s="13">
        <v>1022</v>
      </c>
      <c r="M2355" s="13">
        <v>239</v>
      </c>
      <c r="N2355" s="13">
        <v>25</v>
      </c>
      <c r="O2355" s="15"/>
      <c r="P2355" s="6">
        <v>40425.368217592593</v>
      </c>
      <c r="Q2355" s="17" t="s">
        <v>37</v>
      </c>
      <c r="R2355" s="16" t="s">
        <v>38</v>
      </c>
      <c r="S2355" s="11" t="s">
        <v>40</v>
      </c>
      <c r="T2355" s="12"/>
      <c r="U2355" s="10" t="str">
        <f>HYPERLINK("https://pbs.twimg.com/profile_images/1030131017670160384/b5DTKYHz.jpg","View")</f>
        <v>View</v>
      </c>
    </row>
    <row r="2356" spans="1:21" ht="13.2">
      <c r="A2356" s="6">
        <v>43422.128287037034</v>
      </c>
      <c r="B2356" s="7" t="str">
        <f>HYPERLINK("https://twitter.com/AlbertoScarinci","@AlbertoScarinci")</f>
        <v>@AlbertoScarinci</v>
      </c>
      <c r="C2356" s="8" t="s">
        <v>8012</v>
      </c>
      <c r="D2356" s="9" t="s">
        <v>8013</v>
      </c>
      <c r="E2356" s="10" t="str">
        <f>HYPERLINK("https://twitter.com/AlbertoScarinci/status/1064112161214074880","1064112161214074880")</f>
        <v>1064112161214074880</v>
      </c>
      <c r="F2356" s="11" t="s">
        <v>5818</v>
      </c>
      <c r="G2356" s="12"/>
      <c r="H2356" s="12"/>
      <c r="I2356" s="13">
        <v>0</v>
      </c>
      <c r="J2356" s="13">
        <v>0</v>
      </c>
      <c r="K2356" s="14" t="str">
        <f>HYPERLINK("http://twitter.com/download/iphone","Twitter for iPhone")</f>
        <v>Twitter for iPhone</v>
      </c>
      <c r="L2356" s="13">
        <v>43</v>
      </c>
      <c r="M2356" s="13">
        <v>148</v>
      </c>
      <c r="N2356" s="13">
        <v>0</v>
      </c>
      <c r="O2356" s="15"/>
      <c r="P2356" s="6">
        <v>43272.592291666668</v>
      </c>
      <c r="Q2356" s="12"/>
      <c r="R2356" s="18"/>
      <c r="S2356" s="12"/>
      <c r="T2356" s="12"/>
      <c r="U2356" s="10" t="str">
        <f>HYPERLINK("https://pbs.twimg.com/profile_images/1009907560378494976/7KmDnsKA.jpg","View")</f>
        <v>View</v>
      </c>
    </row>
    <row r="2357" spans="1:21" ht="30.6">
      <c r="A2357" s="6">
        <v>43422.127245370371</v>
      </c>
      <c r="B2357" s="7" t="str">
        <f>HYPERLINK("https://twitter.com/CatNouEstatEuro","@CatNouEstatEuro")</f>
        <v>@CatNouEstatEuro</v>
      </c>
      <c r="C2357" s="8" t="s">
        <v>8014</v>
      </c>
      <c r="D2357" s="9" t="s">
        <v>8015</v>
      </c>
      <c r="E2357" s="10" t="str">
        <f>HYPERLINK("https://twitter.com/CatNouEstatEuro/status/1064111784099962880","1064111784099962880")</f>
        <v>1064111784099962880</v>
      </c>
      <c r="F2357" s="17" t="s">
        <v>8016</v>
      </c>
      <c r="G2357" s="12"/>
      <c r="H2357" s="12"/>
      <c r="I2357" s="13">
        <v>1</v>
      </c>
      <c r="J2357" s="13">
        <v>10</v>
      </c>
      <c r="K2357" s="14" t="str">
        <f>HYPERLINK("http://twitter.com/download/android","Twitter for Android")</f>
        <v>Twitter for Android</v>
      </c>
      <c r="L2357" s="13">
        <v>390</v>
      </c>
      <c r="M2357" s="13">
        <v>713</v>
      </c>
      <c r="N2357" s="13">
        <v>7</v>
      </c>
      <c r="O2357" s="15"/>
      <c r="P2357" s="6">
        <v>41410.30091435185</v>
      </c>
      <c r="Q2357" s="17" t="s">
        <v>3281</v>
      </c>
      <c r="R2357" s="16" t="s">
        <v>8017</v>
      </c>
      <c r="S2357" s="12"/>
      <c r="T2357" s="12"/>
      <c r="U2357" s="10" t="str">
        <f>HYPERLINK("https://pbs.twimg.com/profile_images/831989218717077506/Vane_rxA.jpg","View")</f>
        <v>View</v>
      </c>
    </row>
    <row r="2358" spans="1:21" ht="40.799999999999997">
      <c r="A2358" s="6">
        <v>43422.123437499999</v>
      </c>
      <c r="B2358" s="7" t="str">
        <f>HYPERLINK("https://twitter.com/DiazHortas","@DiazHortas")</f>
        <v>@DiazHortas</v>
      </c>
      <c r="C2358" s="8" t="s">
        <v>6093</v>
      </c>
      <c r="D2358" s="9" t="s">
        <v>8018</v>
      </c>
      <c r="E2358" s="10" t="str">
        <f>HYPERLINK("https://twitter.com/DiazHortas/status/1064110407235833861","1064110407235833861")</f>
        <v>1064110407235833861</v>
      </c>
      <c r="F2358" s="17" t="s">
        <v>8019</v>
      </c>
      <c r="G2358" s="12"/>
      <c r="H2358" s="12"/>
      <c r="I2358" s="13">
        <v>0</v>
      </c>
      <c r="J2358" s="13">
        <v>0</v>
      </c>
      <c r="K2358" s="14" t="str">
        <f>HYPERLINK("http://twitter.com","Twitter Web Client")</f>
        <v>Twitter Web Client</v>
      </c>
      <c r="L2358" s="13">
        <v>1321</v>
      </c>
      <c r="M2358" s="13">
        <v>1114</v>
      </c>
      <c r="N2358" s="13">
        <v>69</v>
      </c>
      <c r="O2358" s="15"/>
      <c r="P2358" s="6">
        <v>42047.04724537037</v>
      </c>
      <c r="Q2358" s="17" t="s">
        <v>6095</v>
      </c>
      <c r="R2358" s="16" t="s">
        <v>6096</v>
      </c>
      <c r="S2358" s="12"/>
      <c r="T2358" s="12"/>
      <c r="U2358" s="10" t="str">
        <f>HYPERLINK("https://pbs.twimg.com/profile_images/746652080694267904/1CToGNmh.jpg","View")</f>
        <v>View</v>
      </c>
    </row>
    <row r="2359" spans="1:21" ht="30.6">
      <c r="A2359" s="6">
        <v>43422.122974537036</v>
      </c>
      <c r="B2359" s="7" t="str">
        <f>HYPERLINK("https://twitter.com/Alfonso_BF_","@Alfonso_BF_")</f>
        <v>@Alfonso_BF_</v>
      </c>
      <c r="C2359" s="8" t="s">
        <v>8020</v>
      </c>
      <c r="D2359" s="9" t="s">
        <v>8021</v>
      </c>
      <c r="E2359" s="10" t="str">
        <f>HYPERLINK("https://twitter.com/Alfonso_BF_/status/1064110239363096576","1064110239363096576")</f>
        <v>1064110239363096576</v>
      </c>
      <c r="F2359" s="11" t="s">
        <v>8022</v>
      </c>
      <c r="G2359" s="12"/>
      <c r="H2359" s="12"/>
      <c r="I2359" s="13">
        <v>0</v>
      </c>
      <c r="J2359" s="13">
        <v>0</v>
      </c>
      <c r="K2359" s="14" t="str">
        <f>HYPERLINK("http://twitter.com/download/android","Twitter for Android")</f>
        <v>Twitter for Android</v>
      </c>
      <c r="L2359" s="13">
        <v>351</v>
      </c>
      <c r="M2359" s="13">
        <v>480</v>
      </c>
      <c r="N2359" s="13">
        <v>3</v>
      </c>
      <c r="O2359" s="15"/>
      <c r="P2359" s="6">
        <v>41238.477488425924</v>
      </c>
      <c r="Q2359" s="12"/>
      <c r="R2359" s="16" t="s">
        <v>8023</v>
      </c>
      <c r="S2359" s="12"/>
      <c r="T2359" s="12"/>
      <c r="U2359" s="10" t="str">
        <f>HYPERLINK("https://pbs.twimg.com/profile_images/1051786482141319168/qohQ0y_u.jpg","View")</f>
        <v>View</v>
      </c>
    </row>
    <row r="2360" spans="1:21" ht="40.799999999999997">
      <c r="A2360" s="6">
        <v>43422.122152777782</v>
      </c>
      <c r="B2360" s="7" t="str">
        <f>HYPERLINK("https://twitter.com/JavierSanzFdez","@JavierSanzFdez")</f>
        <v>@JavierSanzFdez</v>
      </c>
      <c r="C2360" s="8" t="s">
        <v>4089</v>
      </c>
      <c r="D2360" s="9" t="s">
        <v>8024</v>
      </c>
      <c r="E2360" s="10" t="str">
        <f>HYPERLINK("https://twitter.com/JavierSanzFdez/status/1064109938211987458","1064109938211987458")</f>
        <v>1064109938211987458</v>
      </c>
      <c r="F2360" s="11" t="s">
        <v>4948</v>
      </c>
      <c r="G2360" s="12"/>
      <c r="H2360" s="12"/>
      <c r="I2360" s="13">
        <v>0</v>
      </c>
      <c r="J2360" s="13">
        <v>0</v>
      </c>
      <c r="K2360" s="14" t="str">
        <f>HYPERLINK("http://twitter.com/download/iphone","Twitter for iPhone")</f>
        <v>Twitter for iPhone</v>
      </c>
      <c r="L2360" s="13">
        <v>423</v>
      </c>
      <c r="M2360" s="13">
        <v>325</v>
      </c>
      <c r="N2360" s="13">
        <v>15</v>
      </c>
      <c r="O2360" s="15"/>
      <c r="P2360" s="6">
        <v>40476.214722222227</v>
      </c>
      <c r="Q2360" s="17" t="s">
        <v>732</v>
      </c>
      <c r="R2360" s="16" t="s">
        <v>4090</v>
      </c>
      <c r="S2360" s="12"/>
      <c r="T2360" s="12"/>
      <c r="U2360" s="10" t="str">
        <f>HYPERLINK("https://pbs.twimg.com/profile_images/674328405219913728/JfmAeajI.jpg","View")</f>
        <v>View</v>
      </c>
    </row>
    <row r="2361" spans="1:21" ht="20.399999999999999">
      <c r="A2361" s="6">
        <v>43422.120844907404</v>
      </c>
      <c r="B2361" s="7" t="str">
        <f>HYPERLINK("https://twitter.com/REYPELAYO1","@REYPELAYO1")</f>
        <v>@REYPELAYO1</v>
      </c>
      <c r="C2361" s="8" t="s">
        <v>8025</v>
      </c>
      <c r="D2361" s="9" t="s">
        <v>6992</v>
      </c>
      <c r="E2361" s="10" t="str">
        <f>HYPERLINK("https://twitter.com/REYPELAYO1/status/1064109466453516289","1064109466453516289")</f>
        <v>1064109466453516289</v>
      </c>
      <c r="F2361" s="11" t="s">
        <v>6778</v>
      </c>
      <c r="G2361" s="12"/>
      <c r="H2361" s="12"/>
      <c r="I2361" s="13">
        <v>0</v>
      </c>
      <c r="J2361" s="13">
        <v>0</v>
      </c>
      <c r="K2361" s="14" t="str">
        <f>HYPERLINK("http://twitter.com","Twitter Web Client")</f>
        <v>Twitter Web Client</v>
      </c>
      <c r="L2361" s="13">
        <v>4022</v>
      </c>
      <c r="M2361" s="13">
        <v>3971</v>
      </c>
      <c r="N2361" s="13">
        <v>58</v>
      </c>
      <c r="O2361" s="15"/>
      <c r="P2361" s="6">
        <v>40232.076921296299</v>
      </c>
      <c r="Q2361" s="17" t="s">
        <v>216</v>
      </c>
      <c r="R2361" s="18"/>
      <c r="S2361" s="12"/>
      <c r="T2361" s="12"/>
      <c r="U2361" s="10" t="str">
        <f>HYPERLINK("https://pbs.twimg.com/profile_images/692092942870192130/Ey88KUIY.png","View")</f>
        <v>View</v>
      </c>
    </row>
    <row r="2362" spans="1:21" ht="61.2">
      <c r="A2362" s="6">
        <v>43422.119930555556</v>
      </c>
      <c r="B2362" s="7" t="str">
        <f>HYPERLINK("https://twitter.com/chcatala","@chcatala")</f>
        <v>@chcatala</v>
      </c>
      <c r="C2362" s="8" t="s">
        <v>8026</v>
      </c>
      <c r="D2362" s="9" t="s">
        <v>8027</v>
      </c>
      <c r="E2362" s="10" t="str">
        <f>HYPERLINK("https://twitter.com/chcatala/status/1064109136391086080","1064109136391086080")</f>
        <v>1064109136391086080</v>
      </c>
      <c r="F2362" s="17" t="s">
        <v>439</v>
      </c>
      <c r="G2362" s="11" t="s">
        <v>440</v>
      </c>
      <c r="H2362" s="12"/>
      <c r="I2362" s="13">
        <v>0</v>
      </c>
      <c r="J2362" s="13">
        <v>1</v>
      </c>
      <c r="K2362" s="14" t="str">
        <f>HYPERLINK("http://twitter.com/download/android","Twitter for Android")</f>
        <v>Twitter for Android</v>
      </c>
      <c r="L2362" s="13">
        <v>1184</v>
      </c>
      <c r="M2362" s="13">
        <v>1381</v>
      </c>
      <c r="N2362" s="13">
        <v>51</v>
      </c>
      <c r="O2362" s="15"/>
      <c r="P2362" s="6">
        <v>40172.5074537037</v>
      </c>
      <c r="Q2362" s="17" t="s">
        <v>187</v>
      </c>
      <c r="R2362" s="16" t="s">
        <v>8030</v>
      </c>
      <c r="S2362" s="11" t="s">
        <v>8031</v>
      </c>
      <c r="T2362" s="12"/>
      <c r="U2362" s="10" t="str">
        <f>HYPERLINK("https://pbs.twimg.com/profile_images/599504266185809920/ARrMw91a.jpg","View")</f>
        <v>View</v>
      </c>
    </row>
    <row r="2363" spans="1:21" ht="40.799999999999997">
      <c r="A2363" s="6">
        <v>43422.11755787037</v>
      </c>
      <c r="B2363" s="7" t="str">
        <f>HYPERLINK("https://twitter.com/Marianocalleja","@Marianocalleja")</f>
        <v>@Marianocalleja</v>
      </c>
      <c r="C2363" s="8" t="s">
        <v>8035</v>
      </c>
      <c r="D2363" s="9" t="s">
        <v>8036</v>
      </c>
      <c r="E2363" s="10" t="str">
        <f>HYPERLINK("https://twitter.com/Marianocalleja/status/1064108272595206144","1064108272595206144")</f>
        <v>1064108272595206144</v>
      </c>
      <c r="F2363" s="12"/>
      <c r="G2363" s="12"/>
      <c r="H2363" s="12"/>
      <c r="I2363" s="13">
        <v>1</v>
      </c>
      <c r="J2363" s="13">
        <v>0</v>
      </c>
      <c r="K2363" s="14" t="str">
        <f>HYPERLINK("http://twitter.com","Twitter Web Client")</f>
        <v>Twitter Web Client</v>
      </c>
      <c r="L2363" s="13">
        <v>3361</v>
      </c>
      <c r="M2363" s="13">
        <v>976</v>
      </c>
      <c r="N2363" s="13">
        <v>161</v>
      </c>
      <c r="O2363" s="15"/>
      <c r="P2363" s="6">
        <v>40323.30195601852</v>
      </c>
      <c r="Q2363" s="17" t="s">
        <v>76</v>
      </c>
      <c r="R2363" s="16" t="s">
        <v>8037</v>
      </c>
      <c r="S2363" s="11" t="s">
        <v>8038</v>
      </c>
      <c r="T2363" s="12"/>
      <c r="U2363" s="10" t="str">
        <f>HYPERLINK("https://pbs.twimg.com/profile_images/622809358842396672/YUIZXit5.jpg","View")</f>
        <v>View</v>
      </c>
    </row>
    <row r="2364" spans="1:21" ht="40.799999999999997">
      <c r="A2364" s="6">
        <v>43422.117037037038</v>
      </c>
      <c r="B2364" s="7" t="str">
        <f>HYPERLINK("https://twitter.com/PilarHLuc","@PilarHLuc")</f>
        <v>@PilarHLuc</v>
      </c>
      <c r="C2364" s="8" t="s">
        <v>8039</v>
      </c>
      <c r="D2364" s="9" t="s">
        <v>8040</v>
      </c>
      <c r="E2364" s="10" t="str">
        <f>HYPERLINK("https://twitter.com/PilarHLuc/status/1064108085793439744","1064108085793439744")</f>
        <v>1064108085793439744</v>
      </c>
      <c r="F2364" s="12"/>
      <c r="G2364" s="11" t="s">
        <v>8042</v>
      </c>
      <c r="H2364" s="12"/>
      <c r="I2364" s="13">
        <v>1416</v>
      </c>
      <c r="J2364" s="13">
        <v>2744</v>
      </c>
      <c r="K2364" s="14" t="str">
        <f t="shared" ref="K2364:K2365" si="443">HYPERLINK("http://twitter.com/download/iphone","Twitter for iPhone")</f>
        <v>Twitter for iPhone</v>
      </c>
      <c r="L2364" s="13">
        <v>18635</v>
      </c>
      <c r="M2364" s="13">
        <v>2495</v>
      </c>
      <c r="N2364" s="13">
        <v>189</v>
      </c>
      <c r="O2364" s="15"/>
      <c r="P2364" s="6">
        <v>40717.209317129629</v>
      </c>
      <c r="Q2364" s="12"/>
      <c r="R2364" s="16" t="s">
        <v>8043</v>
      </c>
      <c r="S2364" s="12"/>
      <c r="T2364" s="12"/>
      <c r="U2364" s="10" t="str">
        <f>HYPERLINK("https://pbs.twimg.com/profile_images/1005542787985690624/Hpi3Huaq.jpg","View")</f>
        <v>View</v>
      </c>
    </row>
    <row r="2365" spans="1:21" ht="20.399999999999999">
      <c r="A2365" s="6">
        <v>43422.115543981483</v>
      </c>
      <c r="B2365" s="7" t="str">
        <f>HYPERLINK("https://twitter.com/cherinola","@cherinola")</f>
        <v>@cherinola</v>
      </c>
      <c r="C2365" s="8" t="s">
        <v>2446</v>
      </c>
      <c r="D2365" s="9" t="s">
        <v>7473</v>
      </c>
      <c r="E2365" s="10" t="str">
        <f>HYPERLINK("https://twitter.com/cherinola/status/1064107543763582976","1064107543763582976")</f>
        <v>1064107543763582976</v>
      </c>
      <c r="F2365" s="12"/>
      <c r="G2365" s="11" t="s">
        <v>8044</v>
      </c>
      <c r="H2365" s="12"/>
      <c r="I2365" s="13">
        <v>0</v>
      </c>
      <c r="J2365" s="13">
        <v>0</v>
      </c>
      <c r="K2365" s="14" t="str">
        <f t="shared" si="443"/>
        <v>Twitter for iPhone</v>
      </c>
      <c r="L2365" s="13">
        <v>484</v>
      </c>
      <c r="M2365" s="13">
        <v>76</v>
      </c>
      <c r="N2365" s="13">
        <v>30</v>
      </c>
      <c r="O2365" s="15"/>
      <c r="P2365" s="6">
        <v>40232.781284722223</v>
      </c>
      <c r="Q2365" s="17" t="s">
        <v>2449</v>
      </c>
      <c r="R2365" s="16" t="s">
        <v>2450</v>
      </c>
      <c r="S2365" s="11" t="s">
        <v>2451</v>
      </c>
      <c r="T2365" s="12"/>
      <c r="U2365" s="10" t="str">
        <f>HYPERLINK("https://pbs.twimg.com/profile_images/1035495200892887040/flIObds9.jpg","View")</f>
        <v>View</v>
      </c>
    </row>
    <row r="2366" spans="1:21" ht="51">
      <c r="A2366" s="6">
        <v>43422.114305555559</v>
      </c>
      <c r="B2366" s="7" t="str">
        <f>HYPERLINK("https://twitter.com/juanmalamet","@juanmalamet")</f>
        <v>@juanmalamet</v>
      </c>
      <c r="C2366" s="8" t="s">
        <v>4454</v>
      </c>
      <c r="D2366" s="9" t="s">
        <v>8045</v>
      </c>
      <c r="E2366" s="10" t="str">
        <f>HYPERLINK("https://twitter.com/juanmalamet/status/1064107094822014978","1064107094822014978")</f>
        <v>1064107094822014978</v>
      </c>
      <c r="F2366" s="12"/>
      <c r="G2366" s="11" t="s">
        <v>8046</v>
      </c>
      <c r="H2366" s="12"/>
      <c r="I2366" s="13">
        <v>3</v>
      </c>
      <c r="J2366" s="13">
        <v>5</v>
      </c>
      <c r="K2366" s="14" t="str">
        <f t="shared" ref="K2366:K2368" si="444">HYPERLINK("http://twitter.com/download/android","Twitter for Android")</f>
        <v>Twitter for Android</v>
      </c>
      <c r="L2366" s="13">
        <v>5010</v>
      </c>
      <c r="M2366" s="13">
        <v>1756</v>
      </c>
      <c r="N2366" s="13">
        <v>151</v>
      </c>
      <c r="O2366" s="15"/>
      <c r="P2366" s="6">
        <v>40417.435729166667</v>
      </c>
      <c r="Q2366" s="17" t="s">
        <v>4456</v>
      </c>
      <c r="R2366" s="16" t="s">
        <v>4457</v>
      </c>
      <c r="S2366" s="12"/>
      <c r="T2366" s="12"/>
      <c r="U2366" s="10" t="str">
        <f>HYPERLINK("https://pbs.twimg.com/profile_images/1038932595508240384/Cdfn4Nk8.jpg","View")</f>
        <v>View</v>
      </c>
    </row>
    <row r="2367" spans="1:21" ht="30.6">
      <c r="A2367" s="6">
        <v>43422.113275462965</v>
      </c>
      <c r="B2367" s="7" t="str">
        <f>HYPERLINK("https://twitter.com/El_EnanoRojo","@El_EnanoRojo")</f>
        <v>@El_EnanoRojo</v>
      </c>
      <c r="C2367" s="8" t="s">
        <v>8047</v>
      </c>
      <c r="D2367" s="9" t="s">
        <v>8048</v>
      </c>
      <c r="E2367" s="10" t="str">
        <f>HYPERLINK("https://twitter.com/El_EnanoRojo/status/1064106724402040832","1064106724402040832")</f>
        <v>1064106724402040832</v>
      </c>
      <c r="F2367" s="11" t="s">
        <v>8049</v>
      </c>
      <c r="G2367" s="12"/>
      <c r="H2367" s="12"/>
      <c r="I2367" s="13">
        <v>0</v>
      </c>
      <c r="J2367" s="13">
        <v>0</v>
      </c>
      <c r="K2367" s="14" t="str">
        <f t="shared" si="444"/>
        <v>Twitter for Android</v>
      </c>
      <c r="L2367" s="13">
        <v>148</v>
      </c>
      <c r="M2367" s="13">
        <v>585</v>
      </c>
      <c r="N2367" s="13">
        <v>3</v>
      </c>
      <c r="O2367" s="15"/>
      <c r="P2367" s="6">
        <v>42424.105729166666</v>
      </c>
      <c r="Q2367" s="17" t="s">
        <v>29</v>
      </c>
      <c r="R2367" s="16" t="s">
        <v>8050</v>
      </c>
      <c r="S2367" s="12"/>
      <c r="T2367" s="12"/>
      <c r="U2367" s="10" t="str">
        <f>HYPERLINK("https://pbs.twimg.com/profile_images/702953884990488576/oT-VIG5N.png","View")</f>
        <v>View</v>
      </c>
    </row>
    <row r="2368" spans="1:21" ht="40.799999999999997">
      <c r="A2368" s="6">
        <v>43422.111909722225</v>
      </c>
      <c r="B2368" s="7" t="str">
        <f>HYPERLINK("https://twitter.com/alethiagorria","@alethiagorria")</f>
        <v>@alethiagorria</v>
      </c>
      <c r="C2368" s="8" t="s">
        <v>8051</v>
      </c>
      <c r="D2368" s="9" t="s">
        <v>8052</v>
      </c>
      <c r="E2368" s="10" t="str">
        <f>HYPERLINK("https://twitter.com/alethiagorria/status/1064106229151215616","1064106229151215616")</f>
        <v>1064106229151215616</v>
      </c>
      <c r="F2368" s="12"/>
      <c r="G2368" s="11" t="s">
        <v>8055</v>
      </c>
      <c r="H2368" s="12"/>
      <c r="I2368" s="13">
        <v>1</v>
      </c>
      <c r="J2368" s="13">
        <v>1</v>
      </c>
      <c r="K2368" s="14" t="str">
        <f t="shared" si="444"/>
        <v>Twitter for Android</v>
      </c>
      <c r="L2368" s="13">
        <v>1688</v>
      </c>
      <c r="M2368" s="13">
        <v>820</v>
      </c>
      <c r="N2368" s="13">
        <v>27</v>
      </c>
      <c r="O2368" s="15"/>
      <c r="P2368" s="6">
        <v>42051.471666666665</v>
      </c>
      <c r="Q2368" s="12"/>
      <c r="R2368" s="16" t="s">
        <v>8057</v>
      </c>
      <c r="S2368" s="11" t="s">
        <v>8058</v>
      </c>
      <c r="T2368" s="12"/>
      <c r="U2368" s="10" t="str">
        <f>HYPERLINK("https://pbs.twimg.com/profile_images/982606966089449472/N3eL3n7p.jpg","View")</f>
        <v>View</v>
      </c>
    </row>
    <row r="2369" spans="1:21" ht="40.799999999999997">
      <c r="A2369" s="6">
        <v>43422.110983796301</v>
      </c>
      <c r="B2369" s="7" t="str">
        <f>HYPERLINK("https://twitter.com/joselopezalias","@joselopezalias")</f>
        <v>@joselopezalias</v>
      </c>
      <c r="C2369" s="8" t="s">
        <v>8061</v>
      </c>
      <c r="D2369" s="9" t="s">
        <v>3037</v>
      </c>
      <c r="E2369" s="10" t="str">
        <f>HYPERLINK("https://twitter.com/joselopezalias/status/1064105891438444547","1064105891438444547")</f>
        <v>1064105891438444547</v>
      </c>
      <c r="F2369" s="11" t="s">
        <v>3038</v>
      </c>
      <c r="G2369" s="12"/>
      <c r="H2369" s="12"/>
      <c r="I2369" s="13">
        <v>0</v>
      </c>
      <c r="J2369" s="13">
        <v>0</v>
      </c>
      <c r="K2369" s="14" t="str">
        <f>HYPERLINK("http://www.facebook.com/twitter","Facebook")</f>
        <v>Facebook</v>
      </c>
      <c r="L2369" s="13">
        <v>55</v>
      </c>
      <c r="M2369" s="13">
        <v>152</v>
      </c>
      <c r="N2369" s="13">
        <v>5</v>
      </c>
      <c r="O2369" s="15"/>
      <c r="P2369" s="6">
        <v>41030.487974537034</v>
      </c>
      <c r="Q2369" s="17" t="s">
        <v>1066</v>
      </c>
      <c r="R2369" s="16" t="s">
        <v>8062</v>
      </c>
      <c r="S2369" s="11" t="s">
        <v>8063</v>
      </c>
      <c r="T2369" s="12"/>
      <c r="U2369" s="10" t="str">
        <f>HYPERLINK("https://pbs.twimg.com/profile_images/2775771217/be3646250228427b9508bd1f62103064.png","View")</f>
        <v>View</v>
      </c>
    </row>
    <row r="2370" spans="1:21" ht="30.6">
      <c r="A2370" s="6">
        <v>43422.110497685186</v>
      </c>
      <c r="B2370" s="7" t="str">
        <f>HYPERLINK("https://twitter.com/NoticiarioCentr","@NoticiarioCentr")</f>
        <v>@NoticiarioCentr</v>
      </c>
      <c r="C2370" s="8" t="s">
        <v>8064</v>
      </c>
      <c r="D2370" s="9" t="s">
        <v>8065</v>
      </c>
      <c r="E2370" s="10" t="str">
        <f>HYPERLINK("https://twitter.com/NoticiarioCentr/status/1064105717634949120","1064105717634949120")</f>
        <v>1064105717634949120</v>
      </c>
      <c r="F2370" s="11" t="s">
        <v>8022</v>
      </c>
      <c r="G2370" s="11" t="s">
        <v>8066</v>
      </c>
      <c r="H2370" s="12"/>
      <c r="I2370" s="13">
        <v>0</v>
      </c>
      <c r="J2370" s="13">
        <v>0</v>
      </c>
      <c r="K2370" s="14" t="str">
        <f>HYPERLINK("http://twitter.com","Twitter Web Client")</f>
        <v>Twitter Web Client</v>
      </c>
      <c r="L2370" s="13">
        <v>253</v>
      </c>
      <c r="M2370" s="13">
        <v>293</v>
      </c>
      <c r="N2370" s="13">
        <v>13</v>
      </c>
      <c r="O2370" s="15"/>
      <c r="P2370" s="6">
        <v>40483.040243055555</v>
      </c>
      <c r="Q2370" s="17" t="s">
        <v>8067</v>
      </c>
      <c r="R2370" s="16" t="s">
        <v>8068</v>
      </c>
      <c r="S2370" s="11" t="s">
        <v>8069</v>
      </c>
      <c r="T2370" s="12"/>
      <c r="U2370" s="10" t="str">
        <f>HYPERLINK("https://pbs.twimg.com/profile_images/653156876755038208/gucEJYx7.jpg","View")</f>
        <v>View</v>
      </c>
    </row>
    <row r="2371" spans="1:21" ht="51">
      <c r="A2371" s="6">
        <v>43422.107604166667</v>
      </c>
      <c r="B2371" s="7" t="str">
        <f>HYPERLINK("https://twitter.com/LuisLasala1","@LuisLasala1")</f>
        <v>@LuisLasala1</v>
      </c>
      <c r="C2371" s="8" t="s">
        <v>8070</v>
      </c>
      <c r="D2371" s="9" t="s">
        <v>8071</v>
      </c>
      <c r="E2371" s="10" t="str">
        <f>HYPERLINK("https://twitter.com/LuisLasala1/status/1064104668794638337","1064104668794638337")</f>
        <v>1064104668794638337</v>
      </c>
      <c r="F2371" s="11" t="s">
        <v>6778</v>
      </c>
      <c r="G2371" s="12"/>
      <c r="H2371" s="12"/>
      <c r="I2371" s="13">
        <v>42</v>
      </c>
      <c r="J2371" s="13">
        <v>64</v>
      </c>
      <c r="K2371" s="14" t="str">
        <f t="shared" ref="K2371:K2373" si="445">HYPERLINK("http://twitter.com/download/android","Twitter for Android")</f>
        <v>Twitter for Android</v>
      </c>
      <c r="L2371" s="13">
        <v>4165</v>
      </c>
      <c r="M2371" s="13">
        <v>4554</v>
      </c>
      <c r="N2371" s="13">
        <v>102</v>
      </c>
      <c r="O2371" s="15"/>
      <c r="P2371" s="6">
        <v>41365.513831018521</v>
      </c>
      <c r="Q2371" s="12"/>
      <c r="R2371" s="16" t="s">
        <v>8072</v>
      </c>
      <c r="S2371" s="11" t="s">
        <v>8073</v>
      </c>
      <c r="T2371" s="12"/>
      <c r="U2371" s="10" t="str">
        <f>HYPERLINK("https://pbs.twimg.com/profile_images/3531607575/3f2a8ae95e8b98cbe8d6e4a0dac993ac.jpeg","View")</f>
        <v>View</v>
      </c>
    </row>
    <row r="2372" spans="1:21" ht="40.799999999999997">
      <c r="A2372" s="6">
        <v>43422.107546296298</v>
      </c>
      <c r="B2372" s="7" t="str">
        <f>HYPERLINK("https://twitter.com/NuriaPiferrer","@NuriaPiferrer")</f>
        <v>@NuriaPiferrer</v>
      </c>
      <c r="C2372" s="8" t="s">
        <v>8074</v>
      </c>
      <c r="D2372" s="9" t="s">
        <v>8075</v>
      </c>
      <c r="E2372" s="10" t="str">
        <f>HYPERLINK("https://twitter.com/NuriaPiferrer/status/1064104645679824896","1064104645679824896")</f>
        <v>1064104645679824896</v>
      </c>
      <c r="F2372" s="17" t="s">
        <v>6919</v>
      </c>
      <c r="G2372" s="12"/>
      <c r="H2372" s="12"/>
      <c r="I2372" s="13">
        <v>0</v>
      </c>
      <c r="J2372" s="13">
        <v>0</v>
      </c>
      <c r="K2372" s="14" t="str">
        <f t="shared" si="445"/>
        <v>Twitter for Android</v>
      </c>
      <c r="L2372" s="13">
        <v>499</v>
      </c>
      <c r="M2372" s="13">
        <v>873</v>
      </c>
      <c r="N2372" s="13">
        <v>7</v>
      </c>
      <c r="O2372" s="15"/>
      <c r="P2372" s="6">
        <v>41306.445347222223</v>
      </c>
      <c r="Q2372" s="17" t="s">
        <v>187</v>
      </c>
      <c r="R2372" s="16" t="s">
        <v>8076</v>
      </c>
      <c r="S2372" s="12"/>
      <c r="T2372" s="12"/>
      <c r="U2372" s="10" t="str">
        <f>HYPERLINK("https://pbs.twimg.com/profile_images/995261979731398656/bX2j8HAU.jpg","View")</f>
        <v>View</v>
      </c>
    </row>
    <row r="2373" spans="1:21" ht="30.6">
      <c r="A2373" s="6">
        <v>43422.10701388889</v>
      </c>
      <c r="B2373" s="7" t="str">
        <f>HYPERLINK("https://twitter.com/jordibrull","@jordibrull")</f>
        <v>@jordibrull</v>
      </c>
      <c r="C2373" s="8" t="s">
        <v>8077</v>
      </c>
      <c r="D2373" s="9" t="s">
        <v>8078</v>
      </c>
      <c r="E2373" s="10" t="str">
        <f>HYPERLINK("https://twitter.com/jordibrull/status/1064104453706522624","1064104453706522624")</f>
        <v>1064104453706522624</v>
      </c>
      <c r="F2373" s="11" t="s">
        <v>6822</v>
      </c>
      <c r="G2373" s="12"/>
      <c r="H2373" s="12"/>
      <c r="I2373" s="13">
        <v>0</v>
      </c>
      <c r="J2373" s="13">
        <v>0</v>
      </c>
      <c r="K2373" s="14" t="str">
        <f t="shared" si="445"/>
        <v>Twitter for Android</v>
      </c>
      <c r="L2373" s="13">
        <v>202</v>
      </c>
      <c r="M2373" s="13">
        <v>787</v>
      </c>
      <c r="N2373" s="13">
        <v>3</v>
      </c>
      <c r="O2373" s="15"/>
      <c r="P2373" s="6">
        <v>40609.680451388893</v>
      </c>
      <c r="Q2373" s="17" t="s">
        <v>2787</v>
      </c>
      <c r="R2373" s="16" t="s">
        <v>8079</v>
      </c>
      <c r="S2373" s="12"/>
      <c r="T2373" s="12"/>
      <c r="U2373" s="10" t="str">
        <f>HYPERLINK("https://pbs.twimg.com/profile_images/994595014633279489/ry9-6tXu.jpg","View")</f>
        <v>View</v>
      </c>
    </row>
    <row r="2374" spans="1:21" ht="30.6">
      <c r="A2374" s="6">
        <v>43422.106736111113</v>
      </c>
      <c r="B2374" s="7" t="str">
        <f>HYPERLINK("https://twitter.com/JuanitoMama","@JuanitoMama")</f>
        <v>@JuanitoMama</v>
      </c>
      <c r="C2374" s="8" t="s">
        <v>8080</v>
      </c>
      <c r="D2374" s="9" t="s">
        <v>8081</v>
      </c>
      <c r="E2374" s="10" t="str">
        <f>HYPERLINK("https://twitter.com/JuanitoMama/status/1064104352497971200","1064104352497971200")</f>
        <v>1064104352497971200</v>
      </c>
      <c r="F2374" s="11" t="s">
        <v>6822</v>
      </c>
      <c r="G2374" s="12"/>
      <c r="H2374" s="12"/>
      <c r="I2374" s="13">
        <v>0</v>
      </c>
      <c r="J2374" s="13">
        <v>0</v>
      </c>
      <c r="K2374" s="14" t="str">
        <f>HYPERLINK("http://twitter.com","Twitter Web Client")</f>
        <v>Twitter Web Client</v>
      </c>
      <c r="L2374" s="13">
        <v>12</v>
      </c>
      <c r="M2374" s="13">
        <v>39</v>
      </c>
      <c r="N2374" s="13">
        <v>0</v>
      </c>
      <c r="O2374" s="15"/>
      <c r="P2374" s="6">
        <v>41431.14334490741</v>
      </c>
      <c r="Q2374" s="12"/>
      <c r="R2374" s="18"/>
      <c r="S2374" s="12"/>
      <c r="T2374" s="12"/>
      <c r="U2374" s="10" t="str">
        <f>HYPERLINK("https://pbs.twimg.com/profile_images/514470962356428800/fUAFglId.jpeg","View")</f>
        <v>View</v>
      </c>
    </row>
    <row r="2375" spans="1:21" ht="51">
      <c r="A2375" s="6">
        <v>43422.105092592596</v>
      </c>
      <c r="B2375" s="7" t="str">
        <f>HYPERLINK("https://twitter.com/josep_turu","@josep_turu")</f>
        <v>@josep_turu</v>
      </c>
      <c r="C2375" s="8" t="s">
        <v>8082</v>
      </c>
      <c r="D2375" s="9" t="s">
        <v>8083</v>
      </c>
      <c r="E2375" s="10" t="str">
        <f>HYPERLINK("https://twitter.com/josep_turu/status/1064103759033323520","1064103759033323520")</f>
        <v>1064103759033323520</v>
      </c>
      <c r="F2375" s="12"/>
      <c r="G2375" s="12"/>
      <c r="H2375" s="12"/>
      <c r="I2375" s="13">
        <v>0</v>
      </c>
      <c r="J2375" s="13">
        <v>0</v>
      </c>
      <c r="K2375" s="14" t="str">
        <f>HYPERLINK("http://twitter.com/download/android","Twitter for Android")</f>
        <v>Twitter for Android</v>
      </c>
      <c r="L2375" s="13">
        <v>254</v>
      </c>
      <c r="M2375" s="13">
        <v>432</v>
      </c>
      <c r="N2375" s="13">
        <v>0</v>
      </c>
      <c r="O2375" s="15"/>
      <c r="P2375" s="6">
        <v>43327.486666666664</v>
      </c>
      <c r="Q2375" s="17" t="s">
        <v>8084</v>
      </c>
      <c r="R2375" s="16" t="s">
        <v>8085</v>
      </c>
      <c r="S2375" s="11" t="s">
        <v>8086</v>
      </c>
      <c r="T2375" s="12"/>
      <c r="U2375" s="10" t="str">
        <f>HYPERLINK("https://pbs.twimg.com/profile_images/1031129221714923520/Svss_bB9.jpg","View")</f>
        <v>View</v>
      </c>
    </row>
    <row r="2376" spans="1:21" ht="40.799999999999997">
      <c r="A2376" s="6">
        <v>43422.103518518517</v>
      </c>
      <c r="B2376" s="7" t="str">
        <f>HYPERLINK("https://twitter.com/nataliajunquera","@nataliajunquera")</f>
        <v>@nataliajunquera</v>
      </c>
      <c r="C2376" s="8" t="s">
        <v>7904</v>
      </c>
      <c r="D2376" s="9" t="s">
        <v>8087</v>
      </c>
      <c r="E2376" s="10" t="str">
        <f>HYPERLINK("https://twitter.com/nataliajunquera/status/1064103186611359744","1064103186611359744")</f>
        <v>1064103186611359744</v>
      </c>
      <c r="F2376" s="12"/>
      <c r="G2376" s="11" t="s">
        <v>8088</v>
      </c>
      <c r="H2376" s="12"/>
      <c r="I2376" s="13">
        <v>0</v>
      </c>
      <c r="J2376" s="13">
        <v>0</v>
      </c>
      <c r="K2376" s="14" t="str">
        <f>HYPERLINK("http://twitter.com/download/iphone","Twitter for iPhone")</f>
        <v>Twitter for iPhone</v>
      </c>
      <c r="L2376" s="13">
        <v>9984</v>
      </c>
      <c r="M2376" s="13">
        <v>1052</v>
      </c>
      <c r="N2376" s="13">
        <v>350</v>
      </c>
      <c r="O2376" s="15"/>
      <c r="P2376" s="6">
        <v>40622.603368055556</v>
      </c>
      <c r="Q2376" s="17" t="s">
        <v>76</v>
      </c>
      <c r="R2376" s="16" t="s">
        <v>7906</v>
      </c>
      <c r="S2376" s="11" t="s">
        <v>7907</v>
      </c>
      <c r="T2376" s="12"/>
      <c r="U2376" s="10" t="str">
        <f>HYPERLINK("https://pbs.twimg.com/profile_images/832046013674377216/X41ajgNO.jpg","View")</f>
        <v>View</v>
      </c>
    </row>
    <row r="2377" spans="1:21" ht="30.6">
      <c r="A2377" s="6">
        <v>43422.101724537039</v>
      </c>
      <c r="B2377" s="7" t="str">
        <f>HYPERLINK("https://twitter.com/re_chouchio","@re_chouchio")</f>
        <v>@re_chouchio</v>
      </c>
      <c r="C2377" s="8" t="s">
        <v>8089</v>
      </c>
      <c r="D2377" s="9" t="s">
        <v>8090</v>
      </c>
      <c r="E2377" s="10" t="str">
        <f>HYPERLINK("https://twitter.com/re_chouchio/status/1064102538335711232","1064102538335711232")</f>
        <v>1064102538335711232</v>
      </c>
      <c r="F2377" s="11" t="s">
        <v>4961</v>
      </c>
      <c r="G2377" s="12"/>
      <c r="H2377" s="12"/>
      <c r="I2377" s="13">
        <v>1</v>
      </c>
      <c r="J2377" s="13">
        <v>1</v>
      </c>
      <c r="K2377" s="14" t="str">
        <f>HYPERLINK("http://twitter.com/download/android","Twitter for Android")</f>
        <v>Twitter for Android</v>
      </c>
      <c r="L2377" s="13">
        <v>234</v>
      </c>
      <c r="M2377" s="13">
        <v>396</v>
      </c>
      <c r="N2377" s="13">
        <v>0</v>
      </c>
      <c r="O2377" s="15"/>
      <c r="P2377" s="6">
        <v>42894.142187500001</v>
      </c>
      <c r="Q2377" s="17" t="s">
        <v>1205</v>
      </c>
      <c r="R2377" s="16" t="s">
        <v>8091</v>
      </c>
      <c r="S2377" s="12"/>
      <c r="T2377" s="12"/>
      <c r="U2377" s="10" t="str">
        <f>HYPERLINK("https://pbs.twimg.com/profile_images/872764713880481792/fhks59ED.jpg","View")</f>
        <v>View</v>
      </c>
    </row>
    <row r="2378" spans="1:21" ht="40.799999999999997">
      <c r="A2378" s="6">
        <v>43422.100752314815</v>
      </c>
      <c r="B2378" s="7" t="str">
        <f>HYPERLINK("https://twitter.com/La_Cerca","@La_Cerca")</f>
        <v>@La_Cerca</v>
      </c>
      <c r="C2378" s="8" t="s">
        <v>8092</v>
      </c>
      <c r="D2378" s="9" t="s">
        <v>8093</v>
      </c>
      <c r="E2378" s="10" t="str">
        <f>HYPERLINK("https://twitter.com/La_Cerca/status/1064102183136833537","1064102183136833537")</f>
        <v>1064102183136833537</v>
      </c>
      <c r="F2378" s="11" t="s">
        <v>8094</v>
      </c>
      <c r="G2378" s="12"/>
      <c r="H2378" s="12"/>
      <c r="I2378" s="13">
        <v>0</v>
      </c>
      <c r="J2378" s="13">
        <v>0</v>
      </c>
      <c r="K2378" s="14" t="str">
        <f>HYPERLINK("http://www.lacerca.com","La Cerca")</f>
        <v>La Cerca</v>
      </c>
      <c r="L2378" s="13">
        <v>18963</v>
      </c>
      <c r="M2378" s="13">
        <v>4967</v>
      </c>
      <c r="N2378" s="13">
        <v>336</v>
      </c>
      <c r="O2378" s="19" t="s">
        <v>74</v>
      </c>
      <c r="P2378" s="6">
        <v>40007.054652777777</v>
      </c>
      <c r="Q2378" s="17" t="s">
        <v>6559</v>
      </c>
      <c r="R2378" s="16" t="s">
        <v>8095</v>
      </c>
      <c r="S2378" s="11" t="s">
        <v>8096</v>
      </c>
      <c r="T2378" s="12"/>
      <c r="U2378" s="10" t="str">
        <f>HYPERLINK("https://pbs.twimg.com/profile_images/1046758213843111937/MFsiNfy0.jpg","View")</f>
        <v>View</v>
      </c>
    </row>
    <row r="2379" spans="1:21" ht="51">
      <c r="A2379" s="6">
        <v>43422.098240740743</v>
      </c>
      <c r="B2379" s="7" t="str">
        <f>HYPERLINK("https://twitter.com/Ciro2Ciro","@Ciro2Ciro")</f>
        <v>@Ciro2Ciro</v>
      </c>
      <c r="C2379" s="8" t="s">
        <v>8097</v>
      </c>
      <c r="D2379" s="9" t="s">
        <v>8098</v>
      </c>
      <c r="E2379" s="10" t="str">
        <f>HYPERLINK("https://twitter.com/Ciro2Ciro/status/1064101273593700352","1064101273593700352")</f>
        <v>1064101273593700352</v>
      </c>
      <c r="F2379" s="12"/>
      <c r="G2379" s="12"/>
      <c r="H2379" s="12"/>
      <c r="I2379" s="13">
        <v>1</v>
      </c>
      <c r="J2379" s="13">
        <v>3</v>
      </c>
      <c r="K2379" s="14" t="str">
        <f>HYPERLINK("http://twitter.com/#!/download/ipad","Twitter for iPad")</f>
        <v>Twitter for iPad</v>
      </c>
      <c r="L2379" s="13">
        <v>3309</v>
      </c>
      <c r="M2379" s="13">
        <v>173</v>
      </c>
      <c r="N2379" s="13">
        <v>20</v>
      </c>
      <c r="O2379" s="15"/>
      <c r="P2379" s="6">
        <v>41013.5465625</v>
      </c>
      <c r="Q2379" s="12"/>
      <c r="R2379" s="16" t="s">
        <v>8099</v>
      </c>
      <c r="S2379" s="12"/>
      <c r="T2379" s="12"/>
      <c r="U2379" s="10" t="str">
        <f>HYPERLINK("https://pbs.twimg.com/profile_images/1002911299519565826/9yDZungo.jpg","View")</f>
        <v>View</v>
      </c>
    </row>
    <row r="2380" spans="1:21" ht="40.799999999999997">
      <c r="A2380" s="6">
        <v>43422.098009259258</v>
      </c>
      <c r="B2380" s="7" t="str">
        <f>HYPERLINK("https://twitter.com/dykparatrop","@dykparatrop")</f>
        <v>@dykparatrop</v>
      </c>
      <c r="C2380" s="8" t="s">
        <v>8100</v>
      </c>
      <c r="D2380" s="9" t="s">
        <v>8101</v>
      </c>
      <c r="E2380" s="10" t="str">
        <f>HYPERLINK("https://twitter.com/dykparatrop/status/1064101190995271681","1064101190995271681")</f>
        <v>1064101190995271681</v>
      </c>
      <c r="F2380" s="17" t="s">
        <v>8102</v>
      </c>
      <c r="G2380" s="12"/>
      <c r="H2380" s="12"/>
      <c r="I2380" s="13">
        <v>0</v>
      </c>
      <c r="J2380" s="13">
        <v>0</v>
      </c>
      <c r="K2380" s="14" t="str">
        <f>HYPERLINK("http://twitter.com/download/android","Twitter for Android")</f>
        <v>Twitter for Android</v>
      </c>
      <c r="L2380" s="13">
        <v>394</v>
      </c>
      <c r="M2380" s="13">
        <v>140</v>
      </c>
      <c r="N2380" s="13">
        <v>16</v>
      </c>
      <c r="O2380" s="15"/>
      <c r="P2380" s="6">
        <v>40908.473252314812</v>
      </c>
      <c r="Q2380" s="17" t="s">
        <v>8103</v>
      </c>
      <c r="R2380" s="18"/>
      <c r="S2380" s="12"/>
      <c r="T2380" s="12"/>
      <c r="U2380" s="10" t="str">
        <f>HYPERLINK("https://pbs.twimg.com/profile_images/658215541312757761/5efb1GBu.jpg","View")</f>
        <v>View</v>
      </c>
    </row>
    <row r="2381" spans="1:21" ht="40.799999999999997">
      <c r="A2381" s="6">
        <v>43422.094942129625</v>
      </c>
      <c r="B2381" s="7" t="str">
        <f>HYPERLINK("https://twitter.com/laicismoorg","@laicismoorg")</f>
        <v>@laicismoorg</v>
      </c>
      <c r="C2381" s="20" t="s">
        <v>8104</v>
      </c>
      <c r="D2381" s="9" t="s">
        <v>4028</v>
      </c>
      <c r="E2381" s="10" t="str">
        <f>HYPERLINK("https://twitter.com/laicismoorg/status/1064100077940219905","1064100077940219905")</f>
        <v>1064100077940219905</v>
      </c>
      <c r="F2381" s="11" t="s">
        <v>6224</v>
      </c>
      <c r="G2381" s="11" t="s">
        <v>8105</v>
      </c>
      <c r="H2381" s="12"/>
      <c r="I2381" s="13">
        <v>2</v>
      </c>
      <c r="J2381" s="13">
        <v>0</v>
      </c>
      <c r="K2381" s="14" t="str">
        <f t="shared" ref="K2381:K2382" si="446">HYPERLINK("http://twitter.com","Twitter Web Client")</f>
        <v>Twitter Web Client</v>
      </c>
      <c r="L2381" s="13">
        <v>7460</v>
      </c>
      <c r="M2381" s="13">
        <v>29</v>
      </c>
      <c r="N2381" s="13">
        <v>225</v>
      </c>
      <c r="O2381" s="15"/>
      <c r="P2381" s="6">
        <v>40571.617303240739</v>
      </c>
      <c r="Q2381" s="12"/>
      <c r="R2381" s="16" t="s">
        <v>8106</v>
      </c>
      <c r="S2381" s="11" t="s">
        <v>8107</v>
      </c>
      <c r="T2381" s="12"/>
      <c r="U2381" s="10" t="str">
        <f>HYPERLINK("https://pbs.twimg.com/profile_images/1228508340/logo_laicismo_v1_1.png","View")</f>
        <v>View</v>
      </c>
    </row>
    <row r="2382" spans="1:21" ht="40.799999999999997">
      <c r="A2382" s="6">
        <v>43422.091979166667</v>
      </c>
      <c r="B2382" s="7" t="str">
        <f>HYPERLINK("https://twitter.com/cantabriamiguel","@cantabriamiguel")</f>
        <v>@cantabriamiguel</v>
      </c>
      <c r="C2382" s="8" t="s">
        <v>8108</v>
      </c>
      <c r="D2382" s="9" t="s">
        <v>8109</v>
      </c>
      <c r="E2382" s="10" t="str">
        <f>HYPERLINK("https://twitter.com/cantabriamiguel/status/1064099006186434560","1064099006186434560")</f>
        <v>1064099006186434560</v>
      </c>
      <c r="F2382" s="12"/>
      <c r="G2382" s="12"/>
      <c r="H2382" s="12"/>
      <c r="I2382" s="13">
        <v>60</v>
      </c>
      <c r="J2382" s="13">
        <v>82</v>
      </c>
      <c r="K2382" s="14" t="str">
        <f t="shared" si="446"/>
        <v>Twitter Web Client</v>
      </c>
      <c r="L2382" s="13">
        <v>14878</v>
      </c>
      <c r="M2382" s="13">
        <v>7300</v>
      </c>
      <c r="N2382" s="13">
        <v>84</v>
      </c>
      <c r="O2382" s="15"/>
      <c r="P2382" s="6">
        <v>41303.567233796297</v>
      </c>
      <c r="Q2382" s="17" t="s">
        <v>8110</v>
      </c>
      <c r="R2382" s="16" t="s">
        <v>8111</v>
      </c>
      <c r="S2382" s="12"/>
      <c r="T2382" s="12"/>
      <c r="U2382" s="10" t="str">
        <f>HYPERLINK("https://pbs.twimg.com/profile_images/952307961434705920/PexemX7M.jpg","View")</f>
        <v>View</v>
      </c>
    </row>
    <row r="2383" spans="1:21" ht="40.799999999999997">
      <c r="A2383" s="6">
        <v>43422.088796296295</v>
      </c>
      <c r="B2383" s="7" t="str">
        <f>HYPERLINK("https://twitter.com/luisbeltri","@luisbeltri")</f>
        <v>@luisbeltri</v>
      </c>
      <c r="C2383" s="8" t="s">
        <v>237</v>
      </c>
      <c r="D2383" s="9" t="s">
        <v>8112</v>
      </c>
      <c r="E2383" s="10" t="str">
        <f>HYPERLINK("https://twitter.com/luisbeltri/status/1064097851754639361","1064097851754639361")</f>
        <v>1064097851754639361</v>
      </c>
      <c r="F2383" s="11" t="s">
        <v>7997</v>
      </c>
      <c r="G2383" s="12"/>
      <c r="H2383" s="12"/>
      <c r="I2383" s="13">
        <v>0</v>
      </c>
      <c r="J2383" s="13">
        <v>1</v>
      </c>
      <c r="K2383" s="14" t="str">
        <f>HYPERLINK("http://twitter.com/download/android","Twitter for Android")</f>
        <v>Twitter for Android</v>
      </c>
      <c r="L2383" s="13">
        <v>28078</v>
      </c>
      <c r="M2383" s="13">
        <v>18407</v>
      </c>
      <c r="N2383" s="13">
        <v>195</v>
      </c>
      <c r="O2383" s="15"/>
      <c r="P2383" s="6">
        <v>40018.579016203701</v>
      </c>
      <c r="Q2383" s="17" t="s">
        <v>240</v>
      </c>
      <c r="R2383" s="16" t="s">
        <v>241</v>
      </c>
      <c r="S2383" s="12"/>
      <c r="T2383" s="12"/>
      <c r="U2383" s="10" t="str">
        <f>HYPERLINK("https://pbs.twimg.com/profile_images/1028220595404787712/uTQd5ZiU.jpg","View")</f>
        <v>View</v>
      </c>
    </row>
    <row r="2384" spans="1:21" ht="30.6">
      <c r="A2384" s="6">
        <v>43422.087395833332</v>
      </c>
      <c r="B2384" s="7" t="str">
        <f>HYPERLINK("https://twitter.com/fdbetancor","@fdbetancor")</f>
        <v>@fdbetancor</v>
      </c>
      <c r="C2384" s="8" t="s">
        <v>8002</v>
      </c>
      <c r="D2384" s="9" t="s">
        <v>8003</v>
      </c>
      <c r="E2384" s="10" t="str">
        <f>HYPERLINK("https://twitter.com/fdbetancor/status/1064097343572725760","1064097343572725760")</f>
        <v>1064097343572725760</v>
      </c>
      <c r="F2384" s="11" t="s">
        <v>4948</v>
      </c>
      <c r="G2384" s="12"/>
      <c r="H2384" s="12"/>
      <c r="I2384" s="13">
        <v>4</v>
      </c>
      <c r="J2384" s="13">
        <v>12</v>
      </c>
      <c r="K2384" s="14" t="str">
        <f>HYPERLINK("http://twitter.com/download/iphone","Twitter for iPhone")</f>
        <v>Twitter for iPhone</v>
      </c>
      <c r="L2384" s="13">
        <v>898</v>
      </c>
      <c r="M2384" s="13">
        <v>373</v>
      </c>
      <c r="N2384" s="13">
        <v>29</v>
      </c>
      <c r="O2384" s="15"/>
      <c r="P2384" s="6">
        <v>40688.983472222222</v>
      </c>
      <c r="Q2384" s="17" t="s">
        <v>8007</v>
      </c>
      <c r="R2384" s="18"/>
      <c r="S2384" s="11" t="s">
        <v>8008</v>
      </c>
      <c r="T2384" s="12"/>
      <c r="U2384" s="10" t="str">
        <f>HYPERLINK("https://pbs.twimg.com/profile_images/1040245261300326402/KJJAkEYY.jpg","View")</f>
        <v>View</v>
      </c>
    </row>
    <row r="2385" spans="1:21" ht="51">
      <c r="A2385" s="6">
        <v>43422.087210648147</v>
      </c>
      <c r="B2385" s="7" t="str">
        <f>HYPERLINK("https://twitter.com/ENGINEER_28","@ENGINEER_28")</f>
        <v>@ENGINEER_28</v>
      </c>
      <c r="C2385" s="8" t="s">
        <v>8118</v>
      </c>
      <c r="D2385" s="9" t="s">
        <v>8119</v>
      </c>
      <c r="E2385" s="10" t="str">
        <f>HYPERLINK("https://twitter.com/ENGINEER_28/status/1064097275306221568","1064097275306221568")</f>
        <v>1064097275306221568</v>
      </c>
      <c r="F2385" s="12"/>
      <c r="G2385" s="12"/>
      <c r="H2385" s="12"/>
      <c r="I2385" s="13">
        <v>0</v>
      </c>
      <c r="J2385" s="13">
        <v>1</v>
      </c>
      <c r="K2385" s="14" t="str">
        <f>HYPERLINK("http://twitter.com/#!/download/ipad","Twitter for iPad")</f>
        <v>Twitter for iPad</v>
      </c>
      <c r="L2385" s="13">
        <v>5836</v>
      </c>
      <c r="M2385" s="13">
        <v>2749</v>
      </c>
      <c r="N2385" s="13">
        <v>85</v>
      </c>
      <c r="O2385" s="15"/>
      <c r="P2385" s="6">
        <v>40271.213877314818</v>
      </c>
      <c r="Q2385" s="12"/>
      <c r="R2385" s="16" t="s">
        <v>8120</v>
      </c>
      <c r="S2385" s="12"/>
      <c r="T2385" s="12"/>
      <c r="U2385" s="10" t="str">
        <f>HYPERLINK("https://pbs.twimg.com/profile_images/949755792101658624/mhmQ_LVj.jpg","View")</f>
        <v>View</v>
      </c>
    </row>
    <row r="2386" spans="1:21" ht="30.6">
      <c r="A2386" s="6">
        <v>43422.086736111116</v>
      </c>
      <c r="B2386" s="7" t="str">
        <f>HYPERLINK("https://twitter.com/Herrero1946Jose","@Herrero1946Jose")</f>
        <v>@Herrero1946Jose</v>
      </c>
      <c r="C2386" s="8" t="s">
        <v>444</v>
      </c>
      <c r="D2386" s="9" t="s">
        <v>8121</v>
      </c>
      <c r="E2386" s="10" t="str">
        <f>HYPERLINK("https://twitter.com/Herrero1946Jose/status/1064097104442912769","1064097104442912769")</f>
        <v>1064097104442912769</v>
      </c>
      <c r="F2386" s="11" t="s">
        <v>4961</v>
      </c>
      <c r="G2386" s="12"/>
      <c r="H2386" s="12"/>
      <c r="I2386" s="13">
        <v>2</v>
      </c>
      <c r="J2386" s="13">
        <v>0</v>
      </c>
      <c r="K2386" s="14" t="str">
        <f>HYPERLINK("http://twitter.com/download/android","Twitter for Android")</f>
        <v>Twitter for Android</v>
      </c>
      <c r="L2386" s="13">
        <v>1575</v>
      </c>
      <c r="M2386" s="13">
        <v>1566</v>
      </c>
      <c r="N2386" s="13">
        <v>14</v>
      </c>
      <c r="O2386" s="15"/>
      <c r="P2386" s="6">
        <v>41692.413263888891</v>
      </c>
      <c r="Q2386" s="17" t="s">
        <v>447</v>
      </c>
      <c r="R2386" s="16" t="s">
        <v>448</v>
      </c>
      <c r="S2386" s="12"/>
      <c r="T2386" s="12"/>
      <c r="U2386" s="10" t="str">
        <f>HYPERLINK("https://pbs.twimg.com/profile_images/660217709758701568/G2Wjj43D.jpg","View")</f>
        <v>View</v>
      </c>
    </row>
    <row r="2387" spans="1:21" ht="20.399999999999999">
      <c r="A2387" s="6">
        <v>43422.084918981476</v>
      </c>
      <c r="B2387" s="7" t="str">
        <f>HYPERLINK("https://twitter.com/jparriaga2019","@jparriaga2019")</f>
        <v>@jparriaga2019</v>
      </c>
      <c r="C2387" s="8" t="s">
        <v>8122</v>
      </c>
      <c r="D2387" s="9" t="s">
        <v>8123</v>
      </c>
      <c r="E2387" s="10" t="str">
        <f>HYPERLINK("https://twitter.com/jparriaga2019/status/1064096444989218818","1064096444989218818")</f>
        <v>1064096444989218818</v>
      </c>
      <c r="F2387" s="12"/>
      <c r="G2387" s="11" t="s">
        <v>8124</v>
      </c>
      <c r="H2387" s="12"/>
      <c r="I2387" s="13">
        <v>1</v>
      </c>
      <c r="J2387" s="13">
        <v>1</v>
      </c>
      <c r="K2387" s="14" t="str">
        <f>HYPERLINK("https://ifttt.com","IFTTT")</f>
        <v>IFTTT</v>
      </c>
      <c r="L2387" s="13">
        <v>14</v>
      </c>
      <c r="M2387" s="13">
        <v>55</v>
      </c>
      <c r="N2387" s="13">
        <v>0</v>
      </c>
      <c r="O2387" s="15"/>
      <c r="P2387" s="6">
        <v>43208.144479166665</v>
      </c>
      <c r="Q2387" s="17" t="s">
        <v>8126</v>
      </c>
      <c r="R2387" s="16" t="s">
        <v>8127</v>
      </c>
      <c r="S2387" s="11" t="s">
        <v>8128</v>
      </c>
      <c r="T2387" s="12"/>
      <c r="U2387" s="10" t="str">
        <f>HYPERLINK("https://pbs.twimg.com/profile_images/988437258847088640/Vv5r6EzA.jpg","View")</f>
        <v>View</v>
      </c>
    </row>
    <row r="2388" spans="1:21" ht="30.6">
      <c r="A2388" s="6">
        <v>43422.084722222222</v>
      </c>
      <c r="B2388" s="7" t="str">
        <f>HYPERLINK("https://twitter.com/ElHuffPost","@ElHuffPost")</f>
        <v>@ElHuffPost</v>
      </c>
      <c r="C2388" s="8" t="s">
        <v>467</v>
      </c>
      <c r="D2388" s="9" t="s">
        <v>8129</v>
      </c>
      <c r="E2388" s="10" t="str">
        <f>HYPERLINK("https://twitter.com/ElHuffPost/status/1064096374994731009","1064096374994731009")</f>
        <v>1064096374994731009</v>
      </c>
      <c r="F2388" s="11" t="s">
        <v>4948</v>
      </c>
      <c r="G2388" s="12"/>
      <c r="H2388" s="12"/>
      <c r="I2388" s="13">
        <v>1</v>
      </c>
      <c r="J2388" s="13">
        <v>5</v>
      </c>
      <c r="K2388" s="14" t="str">
        <f>HYPERLINK("https://about.twitter.com/products/tweetdeck","TweetDeck")</f>
        <v>TweetDeck</v>
      </c>
      <c r="L2388" s="13">
        <v>430323</v>
      </c>
      <c r="M2388" s="13">
        <v>1532</v>
      </c>
      <c r="N2388" s="13">
        <v>8187</v>
      </c>
      <c r="O2388" s="19" t="s">
        <v>74</v>
      </c>
      <c r="P2388" s="6">
        <v>40784.652118055557</v>
      </c>
      <c r="Q2388" s="17" t="s">
        <v>203</v>
      </c>
      <c r="R2388" s="16" t="s">
        <v>471</v>
      </c>
      <c r="S2388" s="11" t="s">
        <v>472</v>
      </c>
      <c r="T2388" s="12"/>
      <c r="U2388" s="10" t="str">
        <f>HYPERLINK("https://pbs.twimg.com/profile_images/921140803422089217/ETOEUOAx.jpg","View")</f>
        <v>View</v>
      </c>
    </row>
    <row r="2389" spans="1:21" ht="40.799999999999997">
      <c r="A2389" s="6">
        <v>43422.082685185189</v>
      </c>
      <c r="B2389" s="7" t="str">
        <f>HYPERLINK("https://twitter.com/antoniodevicen2","@antoniodevicen2")</f>
        <v>@antoniodevicen2</v>
      </c>
      <c r="C2389" s="8" t="s">
        <v>8130</v>
      </c>
      <c r="D2389" s="9" t="s">
        <v>6992</v>
      </c>
      <c r="E2389" s="10" t="str">
        <f>HYPERLINK("https://twitter.com/antoniodevicen2/status/1064095636994297856","1064095636994297856")</f>
        <v>1064095636994297856</v>
      </c>
      <c r="F2389" s="11" t="s">
        <v>6778</v>
      </c>
      <c r="G2389" s="12"/>
      <c r="H2389" s="12"/>
      <c r="I2389" s="13">
        <v>0</v>
      </c>
      <c r="J2389" s="13">
        <v>0</v>
      </c>
      <c r="K2389" s="14" t="str">
        <f>HYPERLINK("http://twitter.com","Twitter Web Client")</f>
        <v>Twitter Web Client</v>
      </c>
      <c r="L2389" s="13">
        <v>1656</v>
      </c>
      <c r="M2389" s="13">
        <v>1331</v>
      </c>
      <c r="N2389" s="13">
        <v>42</v>
      </c>
      <c r="O2389" s="15"/>
      <c r="P2389" s="6">
        <v>42235.327037037037</v>
      </c>
      <c r="Q2389" s="17" t="s">
        <v>8131</v>
      </c>
      <c r="R2389" s="16" t="s">
        <v>8132</v>
      </c>
      <c r="S2389" s="12"/>
      <c r="T2389" s="12"/>
      <c r="U2389" s="10" t="str">
        <f>HYPERLINK("https://pbs.twimg.com/profile_images/773527467722235904/Ozbd0mV2.jpg","View")</f>
        <v>View</v>
      </c>
    </row>
    <row r="2390" spans="1:21" ht="20.399999999999999">
      <c r="A2390" s="6">
        <v>43422.082326388889</v>
      </c>
      <c r="B2390" s="7" t="str">
        <f>HYPERLINK("https://twitter.com/susi_alonso","@susi_alonso")</f>
        <v>@susi_alonso</v>
      </c>
      <c r="C2390" s="8" t="s">
        <v>6222</v>
      </c>
      <c r="D2390" s="9" t="s">
        <v>8133</v>
      </c>
      <c r="E2390" s="10" t="str">
        <f>HYPERLINK("https://twitter.com/susi_alonso/status/1064095508019507200","1064095508019507200")</f>
        <v>1064095508019507200</v>
      </c>
      <c r="F2390" s="11" t="s">
        <v>8134</v>
      </c>
      <c r="G2390" s="12"/>
      <c r="H2390" s="12"/>
      <c r="I2390" s="13">
        <v>0</v>
      </c>
      <c r="J2390" s="13">
        <v>0</v>
      </c>
      <c r="K2390" s="14" t="str">
        <f>HYPERLINK("http://www.facebook.com/twitter","Facebook")</f>
        <v>Facebook</v>
      </c>
      <c r="L2390" s="13">
        <v>73</v>
      </c>
      <c r="M2390" s="13">
        <v>306</v>
      </c>
      <c r="N2390" s="13">
        <v>4</v>
      </c>
      <c r="O2390" s="15"/>
      <c r="P2390" s="6">
        <v>40470.099328703705</v>
      </c>
      <c r="Q2390" s="17" t="s">
        <v>6225</v>
      </c>
      <c r="R2390" s="18"/>
      <c r="S2390" s="12"/>
      <c r="T2390" s="12"/>
      <c r="U2390" s="10" t="str">
        <f>HYPERLINK("https://pbs.twimg.com/profile_images/655764423651557376/6qiqXTvO.jpg","View")</f>
        <v>View</v>
      </c>
    </row>
    <row r="2391" spans="1:21" ht="30.6">
      <c r="A2391" s="6">
        <v>43422.081956018519</v>
      </c>
      <c r="B2391" s="7" t="str">
        <f>HYPERLINK("https://twitter.com/lmablanc","@lmablanc")</f>
        <v>@lmablanc</v>
      </c>
      <c r="C2391" s="8" t="s">
        <v>8135</v>
      </c>
      <c r="D2391" s="9" t="s">
        <v>8136</v>
      </c>
      <c r="E2391" s="10" t="str">
        <f>HYPERLINK("https://twitter.com/lmablanc/status/1064095371759181824","1064095371759181824")</f>
        <v>1064095371759181824</v>
      </c>
      <c r="F2391" s="11" t="s">
        <v>8137</v>
      </c>
      <c r="G2391" s="12"/>
      <c r="H2391" s="12"/>
      <c r="I2391" s="13">
        <v>50</v>
      </c>
      <c r="J2391" s="13">
        <v>48</v>
      </c>
      <c r="K2391" s="14" t="str">
        <f t="shared" ref="K2391:K2392" si="447">HYPERLINK("http://twitter.com/download/iphone","Twitter for iPhone")</f>
        <v>Twitter for iPhone</v>
      </c>
      <c r="L2391" s="13">
        <v>1354</v>
      </c>
      <c r="M2391" s="13">
        <v>1233</v>
      </c>
      <c r="N2391" s="13">
        <v>1</v>
      </c>
      <c r="O2391" s="15"/>
      <c r="P2391" s="6">
        <v>42889.083738425921</v>
      </c>
      <c r="Q2391" s="12"/>
      <c r="R2391" s="18"/>
      <c r="S2391" s="12"/>
      <c r="T2391" s="12"/>
      <c r="U2391" s="10" t="str">
        <f>HYPERLINK("https://pbs.twimg.com/profile_images/993602675488055297/TE8HNDlS.jpg","View")</f>
        <v>View</v>
      </c>
    </row>
    <row r="2392" spans="1:21" ht="20.399999999999999">
      <c r="A2392" s="6">
        <v>43422.081886574073</v>
      </c>
      <c r="B2392" s="7" t="str">
        <f>HYPERLINK("https://twitter.com/salvatross","@salvatross")</f>
        <v>@salvatross</v>
      </c>
      <c r="C2392" s="8" t="s">
        <v>8140</v>
      </c>
      <c r="D2392" s="9" t="s">
        <v>8141</v>
      </c>
      <c r="E2392" s="10" t="str">
        <f>HYPERLINK("https://twitter.com/salvatross/status/1064095347146919936","1064095347146919936")</f>
        <v>1064095347146919936</v>
      </c>
      <c r="F2392" s="11" t="s">
        <v>4961</v>
      </c>
      <c r="G2392" s="12"/>
      <c r="H2392" s="12"/>
      <c r="I2392" s="13">
        <v>0</v>
      </c>
      <c r="J2392" s="13">
        <v>0</v>
      </c>
      <c r="K2392" s="14" t="str">
        <f t="shared" si="447"/>
        <v>Twitter for iPhone</v>
      </c>
      <c r="L2392" s="13">
        <v>208</v>
      </c>
      <c r="M2392" s="13">
        <v>1278</v>
      </c>
      <c r="N2392" s="13">
        <v>7</v>
      </c>
      <c r="O2392" s="15"/>
      <c r="P2392" s="6">
        <v>40596.127164351856</v>
      </c>
      <c r="Q2392" s="17" t="s">
        <v>8143</v>
      </c>
      <c r="R2392" s="16" t="s">
        <v>8144</v>
      </c>
      <c r="S2392" s="12"/>
      <c r="T2392" s="12"/>
      <c r="U2392" s="10" t="str">
        <f>HYPERLINK("https://pbs.twimg.com/profile_images/978200032993337351/TjOFUkzW.jpg","View")</f>
        <v>View</v>
      </c>
    </row>
    <row r="2393" spans="1:21" ht="40.799999999999997">
      <c r="A2393" s="6">
        <v>43422.081562499996</v>
      </c>
      <c r="B2393" s="7" t="str">
        <f>HYPERLINK("https://twitter.com/ACoscorrotza","@ACoscorrotza")</f>
        <v>@ACoscorrotza</v>
      </c>
      <c r="C2393" s="8" t="s">
        <v>8145</v>
      </c>
      <c r="D2393" s="9" t="s">
        <v>8146</v>
      </c>
      <c r="E2393" s="10" t="str">
        <f>HYPERLINK("https://twitter.com/ACoscorrotza/status/1064095229660315648","1064095229660315648")</f>
        <v>1064095229660315648</v>
      </c>
      <c r="F2393" s="11" t="s">
        <v>4851</v>
      </c>
      <c r="G2393" s="12"/>
      <c r="H2393" s="12"/>
      <c r="I2393" s="13">
        <v>0</v>
      </c>
      <c r="J2393" s="13">
        <v>3</v>
      </c>
      <c r="K2393" s="14" t="str">
        <f>HYPERLINK("http://twitter.com/#!/download/ipad","Twitter for iPad")</f>
        <v>Twitter for iPad</v>
      </c>
      <c r="L2393" s="13">
        <v>21</v>
      </c>
      <c r="M2393" s="13">
        <v>70</v>
      </c>
      <c r="N2393" s="13">
        <v>0</v>
      </c>
      <c r="O2393" s="15"/>
      <c r="P2393" s="6">
        <v>43224.101238425923</v>
      </c>
      <c r="Q2393" s="12"/>
      <c r="R2393" s="18"/>
      <c r="S2393" s="12"/>
      <c r="T2393" s="12"/>
      <c r="U2393" s="10" t="str">
        <f>HYPERLINK("https://pbs.twimg.com/profile_images/992505181060419584/wgUBSlwP.jpg","View")</f>
        <v>View</v>
      </c>
    </row>
    <row r="2394" spans="1:21" ht="40.799999999999997">
      <c r="A2394" s="6">
        <v>43422.081307870365</v>
      </c>
      <c r="B2394" s="7" t="str">
        <f>HYPERLINK("https://twitter.com/RogerGaset","@RogerGaset")</f>
        <v>@RogerGaset</v>
      </c>
      <c r="C2394" s="8" t="s">
        <v>8147</v>
      </c>
      <c r="D2394" s="9" t="s">
        <v>8148</v>
      </c>
      <c r="E2394" s="10" t="str">
        <f>HYPERLINK("https://twitter.com/RogerGaset/status/1064095137754697728","1064095137754697728")</f>
        <v>1064095137754697728</v>
      </c>
      <c r="F2394" s="11" t="s">
        <v>5818</v>
      </c>
      <c r="G2394" s="12"/>
      <c r="H2394" s="12"/>
      <c r="I2394" s="13">
        <v>0</v>
      </c>
      <c r="J2394" s="13">
        <v>0</v>
      </c>
      <c r="K2394" s="14" t="str">
        <f>HYPERLINK("http://twitter.com/download/iphone","Twitter for iPhone")</f>
        <v>Twitter for iPhone</v>
      </c>
      <c r="L2394" s="13">
        <v>358</v>
      </c>
      <c r="M2394" s="13">
        <v>775</v>
      </c>
      <c r="N2394" s="13">
        <v>8</v>
      </c>
      <c r="O2394" s="15"/>
      <c r="P2394" s="6">
        <v>40837.025671296295</v>
      </c>
      <c r="Q2394" s="17" t="s">
        <v>187</v>
      </c>
      <c r="R2394" s="16" t="s">
        <v>8149</v>
      </c>
      <c r="S2394" s="12"/>
      <c r="T2394" s="12"/>
      <c r="U2394" s="10" t="str">
        <f>HYPERLINK("https://pbs.twimg.com/profile_images/520880708735479809/sG7gRv9e.jpeg","View")</f>
        <v>View</v>
      </c>
    </row>
    <row r="2395" spans="1:21" ht="20.399999999999999">
      <c r="A2395" s="6">
        <v>43422.076296296298</v>
      </c>
      <c r="B2395" s="7" t="str">
        <f>HYPERLINK("https://twitter.com/jecaste2","@jecaste2")</f>
        <v>@jecaste2</v>
      </c>
      <c r="C2395" s="8" t="s">
        <v>8150</v>
      </c>
      <c r="D2395" s="9" t="s">
        <v>8151</v>
      </c>
      <c r="E2395" s="10" t="str">
        <f>HYPERLINK("https://twitter.com/jecaste2/status/1064093322254389249","1064093322254389249")</f>
        <v>1064093322254389249</v>
      </c>
      <c r="F2395" s="12"/>
      <c r="G2395" s="12"/>
      <c r="H2395" s="12"/>
      <c r="I2395" s="13">
        <v>0</v>
      </c>
      <c r="J2395" s="13">
        <v>0</v>
      </c>
      <c r="K2395" s="14" t="str">
        <f t="shared" ref="K2395:K2396" si="448">HYPERLINK("http://twitter.com/download/android","Twitter for Android")</f>
        <v>Twitter for Android</v>
      </c>
      <c r="L2395" s="13">
        <v>70</v>
      </c>
      <c r="M2395" s="13">
        <v>470</v>
      </c>
      <c r="N2395" s="13">
        <v>2</v>
      </c>
      <c r="O2395" s="15"/>
      <c r="P2395" s="6">
        <v>41448.213865740741</v>
      </c>
      <c r="Q2395" s="17" t="s">
        <v>8152</v>
      </c>
      <c r="R2395" s="16" t="s">
        <v>8153</v>
      </c>
      <c r="S2395" s="12"/>
      <c r="T2395" s="12"/>
      <c r="U2395" s="10" t="str">
        <f>HYPERLINK("https://pbs.twimg.com/profile_images/998305070880980992/Y2LffO78.jpg","View")</f>
        <v>View</v>
      </c>
    </row>
    <row r="2396" spans="1:21" ht="40.799999999999997">
      <c r="A2396" s="6">
        <v>43422.075810185182</v>
      </c>
      <c r="B2396" s="7" t="str">
        <f>HYPERLINK("https://twitter.com/Srta_RuthieMig","@Srta_RuthieMig")</f>
        <v>@Srta_RuthieMig</v>
      </c>
      <c r="C2396" s="8" t="s">
        <v>8154</v>
      </c>
      <c r="D2396" s="9" t="s">
        <v>8155</v>
      </c>
      <c r="E2396" s="10" t="str">
        <f>HYPERLINK("https://twitter.com/Srta_RuthieMig/status/1064093146399821824","1064093146399821824")</f>
        <v>1064093146399821824</v>
      </c>
      <c r="F2396" s="17" t="s">
        <v>8156</v>
      </c>
      <c r="G2396" s="12"/>
      <c r="H2396" s="12"/>
      <c r="I2396" s="13">
        <v>0</v>
      </c>
      <c r="J2396" s="13">
        <v>0</v>
      </c>
      <c r="K2396" s="14" t="str">
        <f t="shared" si="448"/>
        <v>Twitter for Android</v>
      </c>
      <c r="L2396" s="13">
        <v>76</v>
      </c>
      <c r="M2396" s="13">
        <v>141</v>
      </c>
      <c r="N2396" s="13">
        <v>2</v>
      </c>
      <c r="O2396" s="15"/>
      <c r="P2396" s="6">
        <v>41151.553124999999</v>
      </c>
      <c r="Q2396" s="17" t="s">
        <v>75</v>
      </c>
      <c r="R2396" s="16" t="s">
        <v>8157</v>
      </c>
      <c r="S2396" s="12"/>
      <c r="T2396" s="12"/>
      <c r="U2396" s="10" t="str">
        <f>HYPERLINK("https://pbs.twimg.com/profile_images/1037848261904801792/LY1MVZks.jpg","View")</f>
        <v>View</v>
      </c>
    </row>
    <row r="2397" spans="1:21" ht="40.799999999999997">
      <c r="A2397" s="6">
        <v>43422.072800925926</v>
      </c>
      <c r="B2397" s="7" t="str">
        <f>HYPERLINK("https://twitter.com/LeonFDelCanto","@LeonFDelCanto")</f>
        <v>@LeonFDelCanto</v>
      </c>
      <c r="C2397" s="8" t="s">
        <v>8028</v>
      </c>
      <c r="D2397" s="9" t="s">
        <v>8029</v>
      </c>
      <c r="E2397" s="10" t="str">
        <f>HYPERLINK("https://twitter.com/LeonFDelCanto/status/1064092056828764160","1064092056828764160")</f>
        <v>1064092056828764160</v>
      </c>
      <c r="F2397" s="11" t="s">
        <v>4961</v>
      </c>
      <c r="G2397" s="12"/>
      <c r="H2397" s="12"/>
      <c r="I2397" s="13">
        <v>2</v>
      </c>
      <c r="J2397" s="13">
        <v>3</v>
      </c>
      <c r="K2397" s="14" t="str">
        <f>HYPERLINK("http://twitter.com/download/iphone","Twitter for iPhone")</f>
        <v>Twitter for iPhone</v>
      </c>
      <c r="L2397" s="13">
        <v>4471</v>
      </c>
      <c r="M2397" s="13">
        <v>2707</v>
      </c>
      <c r="N2397" s="13">
        <v>109</v>
      </c>
      <c r="O2397" s="15"/>
      <c r="P2397" s="6">
        <v>40653.130300925928</v>
      </c>
      <c r="Q2397" s="17" t="s">
        <v>8032</v>
      </c>
      <c r="R2397" s="16" t="s">
        <v>8033</v>
      </c>
      <c r="S2397" s="11" t="s">
        <v>8034</v>
      </c>
      <c r="T2397" s="12"/>
      <c r="U2397" s="10" t="str">
        <f>HYPERLINK("https://pbs.twimg.com/profile_images/1032173717076488193/IxzDAFDo.jpg","View")</f>
        <v>View</v>
      </c>
    </row>
    <row r="2398" spans="1:21" ht="51">
      <c r="A2398" s="6">
        <v>43422.071655092594</v>
      </c>
      <c r="B2398" s="7" t="str">
        <f>HYPERLINK("https://twitter.com/MiguelM61572897","@MiguelM61572897")</f>
        <v>@MiguelM61572897</v>
      </c>
      <c r="C2398" s="8" t="s">
        <v>8158</v>
      </c>
      <c r="D2398" s="9" t="s">
        <v>8159</v>
      </c>
      <c r="E2398" s="10" t="str">
        <f>HYPERLINK("https://twitter.com/MiguelM61572897/status/1064091640325902336","1064091640325902336")</f>
        <v>1064091640325902336</v>
      </c>
      <c r="F2398" s="11" t="s">
        <v>6778</v>
      </c>
      <c r="G2398" s="12"/>
      <c r="H2398" s="12"/>
      <c r="I2398" s="13">
        <v>0</v>
      </c>
      <c r="J2398" s="13">
        <v>0</v>
      </c>
      <c r="K2398" s="14" t="str">
        <f>HYPERLINK("http://twitter.com/download/android","Twitter for Android")</f>
        <v>Twitter for Android</v>
      </c>
      <c r="L2398" s="13">
        <v>28</v>
      </c>
      <c r="M2398" s="13">
        <v>489</v>
      </c>
      <c r="N2398" s="13">
        <v>0</v>
      </c>
      <c r="O2398" s="15"/>
      <c r="P2398" s="6">
        <v>43158.349548611106</v>
      </c>
      <c r="Q2398" s="17" t="s">
        <v>7984</v>
      </c>
      <c r="R2398" s="18"/>
      <c r="S2398" s="12"/>
      <c r="T2398" s="12"/>
      <c r="U2398" s="19" t="s">
        <v>368</v>
      </c>
    </row>
    <row r="2399" spans="1:21" ht="13.2">
      <c r="A2399" s="6">
        <v>43422.070451388892</v>
      </c>
      <c r="B2399" s="7" t="str">
        <f>HYPERLINK("https://twitter.com/menchubasquero","@menchubasquero")</f>
        <v>@menchubasquero</v>
      </c>
      <c r="C2399" s="8" t="s">
        <v>8160</v>
      </c>
      <c r="D2399" s="9" t="s">
        <v>8161</v>
      </c>
      <c r="E2399" s="10" t="str">
        <f>HYPERLINK("https://twitter.com/menchubasquero/status/1064091205133393920","1064091205133393920")</f>
        <v>1064091205133393920</v>
      </c>
      <c r="F2399" s="12"/>
      <c r="G2399" s="11" t="s">
        <v>8162</v>
      </c>
      <c r="H2399" s="12"/>
      <c r="I2399" s="13">
        <v>0</v>
      </c>
      <c r="J2399" s="13">
        <v>8</v>
      </c>
      <c r="K2399" s="14" t="str">
        <f>HYPERLINK("http://twitter.com/download/iphone","Twitter for iPhone")</f>
        <v>Twitter for iPhone</v>
      </c>
      <c r="L2399" s="13">
        <v>5265</v>
      </c>
      <c r="M2399" s="13">
        <v>771</v>
      </c>
      <c r="N2399" s="13">
        <v>137</v>
      </c>
      <c r="O2399" s="15"/>
      <c r="P2399" s="6">
        <v>40802.305381944447</v>
      </c>
      <c r="Q2399" s="17" t="s">
        <v>8163</v>
      </c>
      <c r="R2399" s="16" t="s">
        <v>8164</v>
      </c>
      <c r="S2399" s="12"/>
      <c r="T2399" s="12"/>
      <c r="U2399" s="10" t="str">
        <f>HYPERLINK("https://pbs.twimg.com/profile_images/1055692387119497216/DCS9KjaQ.jpg","View")</f>
        <v>View</v>
      </c>
    </row>
    <row r="2400" spans="1:21" ht="51">
      <c r="A2400" s="6">
        <v>43422.06962962963</v>
      </c>
      <c r="B2400" s="7" t="str">
        <f>HYPERLINK("https://twitter.com/anirubio","@anirubio")</f>
        <v>@anirubio</v>
      </c>
      <c r="C2400" s="8" t="s">
        <v>5083</v>
      </c>
      <c r="D2400" s="9" t="s">
        <v>8041</v>
      </c>
      <c r="E2400" s="10" t="str">
        <f>HYPERLINK("https://twitter.com/anirubio/status/1064090906335346688","1064090906335346688")</f>
        <v>1064090906335346688</v>
      </c>
      <c r="F2400" s="11" t="s">
        <v>2767</v>
      </c>
      <c r="G2400" s="12"/>
      <c r="H2400" s="12"/>
      <c r="I2400" s="13">
        <v>2</v>
      </c>
      <c r="J2400" s="13">
        <v>0</v>
      </c>
      <c r="K2400" s="14" t="str">
        <f>HYPERLINK("http://twitter.com/download/android","Twitter for Android")</f>
        <v>Twitter for Android</v>
      </c>
      <c r="L2400" s="13">
        <v>1390</v>
      </c>
      <c r="M2400" s="13">
        <v>4878</v>
      </c>
      <c r="N2400" s="13">
        <v>24</v>
      </c>
      <c r="O2400" s="15"/>
      <c r="P2400" s="6">
        <v>40135.56763888889</v>
      </c>
      <c r="Q2400" s="12"/>
      <c r="R2400" s="18"/>
      <c r="S2400" s="12"/>
      <c r="T2400" s="12"/>
      <c r="U2400" s="10" t="str">
        <f>HYPERLINK("https://pbs.twimg.com/profile_images/985766822854131712/my9f8aot.jpg","View")</f>
        <v>View</v>
      </c>
    </row>
    <row r="2401" spans="1:21" ht="40.799999999999997">
      <c r="A2401" s="6">
        <v>43422.069050925929</v>
      </c>
      <c r="B2401" s="7" t="str">
        <f>HYPERLINK("https://twitter.com/lorigados27","@lorigados27")</f>
        <v>@lorigados27</v>
      </c>
      <c r="C2401" s="8" t="s">
        <v>445</v>
      </c>
      <c r="D2401" s="9" t="s">
        <v>8165</v>
      </c>
      <c r="E2401" s="10" t="str">
        <f>HYPERLINK("https://twitter.com/lorigados27/status/1064090694774603776","1064090694774603776")</f>
        <v>1064090694774603776</v>
      </c>
      <c r="F2401" s="12"/>
      <c r="G2401" s="12"/>
      <c r="H2401" s="12"/>
      <c r="I2401" s="13">
        <v>1</v>
      </c>
      <c r="J2401" s="13">
        <v>0</v>
      </c>
      <c r="K2401" s="14" t="str">
        <f>HYPERLINK("http://twitter.com","Twitter Web Client")</f>
        <v>Twitter Web Client</v>
      </c>
      <c r="L2401" s="13">
        <v>8635</v>
      </c>
      <c r="M2401" s="13">
        <v>7177</v>
      </c>
      <c r="N2401" s="13">
        <v>11</v>
      </c>
      <c r="O2401" s="15"/>
      <c r="P2401" s="6">
        <v>40825.000381944446</v>
      </c>
      <c r="Q2401" s="17" t="s">
        <v>8167</v>
      </c>
      <c r="R2401" s="16" t="s">
        <v>8168</v>
      </c>
      <c r="S2401" s="12"/>
      <c r="T2401" s="12"/>
      <c r="U2401" s="10" t="str">
        <f>HYPERLINK("https://pbs.twimg.com/profile_images/972191901880406016/5N7GlSYc.jpg","View")</f>
        <v>View</v>
      </c>
    </row>
    <row r="2402" spans="1:21" ht="40.799999999999997">
      <c r="A2402" s="6">
        <v>43422.067569444444</v>
      </c>
      <c r="B2402" s="7" t="str">
        <f>HYPERLINK("https://twitter.com/cordoba","@cordoba")</f>
        <v>@cordoba</v>
      </c>
      <c r="C2402" s="8" t="s">
        <v>8053</v>
      </c>
      <c r="D2402" s="9" t="s">
        <v>8054</v>
      </c>
      <c r="E2402" s="10" t="str">
        <f>HYPERLINK("https://twitter.com/cordoba/status/1064090158239240192","1064090158239240192")</f>
        <v>1064090158239240192</v>
      </c>
      <c r="F2402" s="11" t="s">
        <v>8056</v>
      </c>
      <c r="G2402" s="12"/>
      <c r="H2402" s="12"/>
      <c r="I2402" s="13">
        <v>0</v>
      </c>
      <c r="J2402" s="13">
        <v>0</v>
      </c>
      <c r="K2402" s="14" t="str">
        <f>HYPERLINK("https://www.hootsuite.com","Hootsuite Inc.")</f>
        <v>Hootsuite Inc.</v>
      </c>
      <c r="L2402" s="13">
        <v>73018</v>
      </c>
      <c r="M2402" s="13">
        <v>698</v>
      </c>
      <c r="N2402" s="13">
        <v>716</v>
      </c>
      <c r="O2402" s="19" t="s">
        <v>74</v>
      </c>
      <c r="P2402" s="6">
        <v>40839.444733796292</v>
      </c>
      <c r="Q2402" s="17" t="s">
        <v>2652</v>
      </c>
      <c r="R2402" s="16" t="s">
        <v>8059</v>
      </c>
      <c r="S2402" s="11" t="s">
        <v>8060</v>
      </c>
      <c r="T2402" s="12"/>
      <c r="U2402" s="10" t="str">
        <f>HYPERLINK("https://pbs.twimg.com/profile_images/923129201661763584/FaXcJ3Xz.jpg","View")</f>
        <v>View</v>
      </c>
    </row>
    <row r="2403" spans="1:21" ht="40.799999999999997">
      <c r="A2403" s="6">
        <v>43422.066122685181</v>
      </c>
      <c r="B2403" s="7" t="str">
        <f>HYPERLINK("https://twitter.com/juan_mesia","@juan_mesia")</f>
        <v>@juan_mesia</v>
      </c>
      <c r="C2403" s="8" t="s">
        <v>6317</v>
      </c>
      <c r="D2403" s="9" t="s">
        <v>5246</v>
      </c>
      <c r="E2403" s="10" t="str">
        <f>HYPERLINK("https://twitter.com/juan_mesia/status/1064089634878169088","1064089634878169088")</f>
        <v>1064089634878169088</v>
      </c>
      <c r="F2403" s="11" t="s">
        <v>8115</v>
      </c>
      <c r="G2403" s="11" t="s">
        <v>8169</v>
      </c>
      <c r="H2403" s="12"/>
      <c r="I2403" s="13">
        <v>0</v>
      </c>
      <c r="J2403" s="13">
        <v>0</v>
      </c>
      <c r="K2403" s="14" t="str">
        <f>HYPERLINK("http://twitter.com","Twitter Web Client")</f>
        <v>Twitter Web Client</v>
      </c>
      <c r="L2403" s="13">
        <v>5853</v>
      </c>
      <c r="M2403" s="13">
        <v>4567</v>
      </c>
      <c r="N2403" s="13">
        <v>69</v>
      </c>
      <c r="O2403" s="15"/>
      <c r="P2403" s="6">
        <v>41129.472314814819</v>
      </c>
      <c r="Q2403" s="17" t="s">
        <v>118</v>
      </c>
      <c r="R2403" s="16" t="s">
        <v>6318</v>
      </c>
      <c r="S2403" s="12"/>
      <c r="T2403" s="12"/>
      <c r="U2403" s="10" t="str">
        <f>HYPERLINK("https://pbs.twimg.com/profile_images/378800000289523774/86581f51288d7206d5fcb0cf2cbe5eac.jpeg","View")</f>
        <v>View</v>
      </c>
    </row>
    <row r="2404" spans="1:21" ht="20.399999999999999">
      <c r="A2404" s="6">
        <v>43422.064722222218</v>
      </c>
      <c r="B2404" s="7" t="str">
        <f>HYPERLINK("https://twitter.com/marianofake","@marianofake")</f>
        <v>@marianofake</v>
      </c>
      <c r="C2404" s="8" t="s">
        <v>544</v>
      </c>
      <c r="D2404" s="9" t="s">
        <v>8170</v>
      </c>
      <c r="E2404" s="10" t="str">
        <f>HYPERLINK("https://twitter.com/marianofake/status/1064089125563838467","1064089125563838467")</f>
        <v>1064089125563838467</v>
      </c>
      <c r="F2404" s="12"/>
      <c r="G2404" s="12"/>
      <c r="H2404" s="12"/>
      <c r="I2404" s="13">
        <v>9</v>
      </c>
      <c r="J2404" s="13">
        <v>20</v>
      </c>
      <c r="K2404" s="14" t="str">
        <f>HYPERLINK("https://mobile.twitter.com","Twitter Lite")</f>
        <v>Twitter Lite</v>
      </c>
      <c r="L2404" s="13">
        <v>6041</v>
      </c>
      <c r="M2404" s="13">
        <v>3162</v>
      </c>
      <c r="N2404" s="13">
        <v>19</v>
      </c>
      <c r="O2404" s="15"/>
      <c r="P2404" s="6">
        <v>42101.300752314812</v>
      </c>
      <c r="Q2404" s="12"/>
      <c r="R2404" s="16" t="s">
        <v>547</v>
      </c>
      <c r="S2404" s="12"/>
      <c r="T2404" s="12"/>
      <c r="U2404" s="10" t="str">
        <f>HYPERLINK("https://pbs.twimg.com/profile_images/865123852795367424/p4pK2M21.jpg","View")</f>
        <v>View</v>
      </c>
    </row>
    <row r="2405" spans="1:21" ht="30.6">
      <c r="A2405" s="6">
        <v>43422.064525462964</v>
      </c>
      <c r="B2405" s="7" t="str">
        <f>HYPERLINK("https://twitter.com/VIDEOLUCTV","@VIDEOLUCTV")</f>
        <v>@VIDEOLUCTV</v>
      </c>
      <c r="C2405" s="8" t="s">
        <v>8171</v>
      </c>
      <c r="D2405" s="9" t="s">
        <v>8172</v>
      </c>
      <c r="E2405" s="10" t="str">
        <f>HYPERLINK("https://twitter.com/VIDEOLUCTV/status/1064089058358513664","1064089058358513664")</f>
        <v>1064089058358513664</v>
      </c>
      <c r="F2405" s="11" t="s">
        <v>8173</v>
      </c>
      <c r="G2405" s="12"/>
      <c r="H2405" s="12"/>
      <c r="I2405" s="13">
        <v>0</v>
      </c>
      <c r="J2405" s="13">
        <v>1</v>
      </c>
      <c r="K2405" s="14" t="str">
        <f>HYPERLINK("http://www.facebook.com/twitter","Facebook")</f>
        <v>Facebook</v>
      </c>
      <c r="L2405" s="13">
        <v>3815</v>
      </c>
      <c r="M2405" s="13">
        <v>104</v>
      </c>
      <c r="N2405" s="13">
        <v>11</v>
      </c>
      <c r="O2405" s="15"/>
      <c r="P2405" s="6">
        <v>41058.379918981482</v>
      </c>
      <c r="Q2405" s="17" t="s">
        <v>8174</v>
      </c>
      <c r="R2405" s="16" t="s">
        <v>8175</v>
      </c>
      <c r="S2405" s="12"/>
      <c r="T2405" s="12"/>
      <c r="U2405" s="10" t="str">
        <f>HYPERLINK("https://pbs.twimg.com/profile_images/3151765776/5dae8254e490f9b8e14143b3175497af.jpeg","View")</f>
        <v>View</v>
      </c>
    </row>
    <row r="2406" spans="1:21" ht="40.799999999999997">
      <c r="A2406" s="6">
        <v>43422.063900462963</v>
      </c>
      <c r="B2406" s="7" t="str">
        <f>HYPERLINK("https://twitter.com/FerPablosRomo","@FerPablosRomo")</f>
        <v>@FerPablosRomo</v>
      </c>
      <c r="C2406" s="8" t="s">
        <v>8176</v>
      </c>
      <c r="D2406" s="9" t="s">
        <v>8177</v>
      </c>
      <c r="E2406" s="10" t="str">
        <f>HYPERLINK("https://twitter.com/FerPablosRomo/status/1064088829420847105","1064088829420847105")</f>
        <v>1064088829420847105</v>
      </c>
      <c r="F2406" s="12"/>
      <c r="G2406" s="11" t="s">
        <v>8178</v>
      </c>
      <c r="H2406" s="12"/>
      <c r="I2406" s="13">
        <v>0</v>
      </c>
      <c r="J2406" s="13">
        <v>6</v>
      </c>
      <c r="K2406" s="14" t="str">
        <f>HYPERLINK("http://twitter.com/download/iphone","Twitter for iPhone")</f>
        <v>Twitter for iPhone</v>
      </c>
      <c r="L2406" s="13">
        <v>3178</v>
      </c>
      <c r="M2406" s="13">
        <v>1126</v>
      </c>
      <c r="N2406" s="13">
        <v>66</v>
      </c>
      <c r="O2406" s="15"/>
      <c r="P2406" s="6">
        <v>40582.41778935185</v>
      </c>
      <c r="Q2406" s="12"/>
      <c r="R2406" s="16" t="s">
        <v>8179</v>
      </c>
      <c r="S2406" s="12"/>
      <c r="T2406" s="12"/>
      <c r="U2406" s="10" t="str">
        <f>HYPERLINK("https://pbs.twimg.com/profile_images/1241329500/FPR.jpg","View")</f>
        <v>View</v>
      </c>
    </row>
    <row r="2407" spans="1:21" ht="61.2">
      <c r="A2407" s="6">
        <v>43422.059363425928</v>
      </c>
      <c r="B2407" s="7" t="str">
        <f>HYPERLINK("https://twitter.com/Rocamadour79","@Rocamadour79")</f>
        <v>@Rocamadour79</v>
      </c>
      <c r="C2407" s="8" t="s">
        <v>8180</v>
      </c>
      <c r="D2407" s="9" t="s">
        <v>8181</v>
      </c>
      <c r="E2407" s="10" t="str">
        <f>HYPERLINK("https://twitter.com/Rocamadour79/status/1064087184628727808","1064087184628727808")</f>
        <v>1064087184628727808</v>
      </c>
      <c r="F2407" s="12"/>
      <c r="G2407" s="12"/>
      <c r="H2407" s="12"/>
      <c r="I2407" s="13">
        <v>1</v>
      </c>
      <c r="J2407" s="13">
        <v>2</v>
      </c>
      <c r="K2407" s="14" t="str">
        <f t="shared" ref="K2407:K2408" si="449">HYPERLINK("http://twitter.com","Twitter Web Client")</f>
        <v>Twitter Web Client</v>
      </c>
      <c r="L2407" s="13">
        <v>601</v>
      </c>
      <c r="M2407" s="13">
        <v>1415</v>
      </c>
      <c r="N2407" s="13">
        <v>15</v>
      </c>
      <c r="O2407" s="15"/>
      <c r="P2407" s="6">
        <v>40951.568854166668</v>
      </c>
      <c r="Q2407" s="17" t="s">
        <v>8182</v>
      </c>
      <c r="R2407" s="16" t="s">
        <v>8183</v>
      </c>
      <c r="S2407" s="12"/>
      <c r="T2407" s="12"/>
      <c r="U2407" s="10" t="str">
        <f>HYPERLINK("https://pbs.twimg.com/profile_images/926506498833993731/TWxbxaNb.jpg","View")</f>
        <v>View</v>
      </c>
    </row>
    <row r="2408" spans="1:21" ht="30.6">
      <c r="A2408" s="6">
        <v>43422.059166666666</v>
      </c>
      <c r="B2408" s="7" t="str">
        <f>HYPERLINK("https://twitter.com/RamonFBarba","@RamonFBarba")</f>
        <v>@RamonFBarba</v>
      </c>
      <c r="C2408" s="8" t="s">
        <v>8184</v>
      </c>
      <c r="D2408" s="9" t="s">
        <v>8185</v>
      </c>
      <c r="E2408" s="10" t="str">
        <f>HYPERLINK("https://twitter.com/RamonFBarba/status/1064087113057148928","1064087113057148928")</f>
        <v>1064087113057148928</v>
      </c>
      <c r="F2408" s="11" t="s">
        <v>8022</v>
      </c>
      <c r="G2408" s="12"/>
      <c r="H2408" s="12"/>
      <c r="I2408" s="13">
        <v>0</v>
      </c>
      <c r="J2408" s="13">
        <v>0</v>
      </c>
      <c r="K2408" s="14" t="str">
        <f t="shared" si="449"/>
        <v>Twitter Web Client</v>
      </c>
      <c r="L2408" s="13">
        <v>762</v>
      </c>
      <c r="M2408" s="13">
        <v>1170</v>
      </c>
      <c r="N2408" s="13">
        <v>26</v>
      </c>
      <c r="O2408" s="15"/>
      <c r="P2408" s="6">
        <v>40921.065787037034</v>
      </c>
      <c r="Q2408" s="17" t="s">
        <v>8186</v>
      </c>
      <c r="R2408" s="16" t="s">
        <v>8187</v>
      </c>
      <c r="S2408" s="12"/>
      <c r="T2408" s="12"/>
      <c r="U2408" s="10" t="str">
        <f>HYPERLINK("https://pbs.twimg.com/profile_images/1053294523646963713/PrJ-fcl8.jpg","View")</f>
        <v>View</v>
      </c>
    </row>
    <row r="2409" spans="1:21" ht="20.399999999999999">
      <c r="A2409" s="6">
        <v>43422.057870370365</v>
      </c>
      <c r="B2409" s="7" t="str">
        <f>HYPERLINK("https://twitter.com/patolucas48","@patolucas48")</f>
        <v>@patolucas48</v>
      </c>
      <c r="C2409" s="8" t="s">
        <v>8188</v>
      </c>
      <c r="D2409" s="9" t="s">
        <v>8189</v>
      </c>
      <c r="E2409" s="10" t="str">
        <f>HYPERLINK("https://twitter.com/patolucas48/status/1064086645195096064","1064086645195096064")</f>
        <v>1064086645195096064</v>
      </c>
      <c r="F2409" s="11" t="s">
        <v>6099</v>
      </c>
      <c r="G2409" s="12"/>
      <c r="H2409" s="12"/>
      <c r="I2409" s="13">
        <v>6</v>
      </c>
      <c r="J2409" s="13">
        <v>2</v>
      </c>
      <c r="K2409" s="14" t="str">
        <f>HYPERLINK("http://twitter.com/download/android","Twitter for Android")</f>
        <v>Twitter for Android</v>
      </c>
      <c r="L2409" s="13">
        <v>4834</v>
      </c>
      <c r="M2409" s="13">
        <v>4711</v>
      </c>
      <c r="N2409" s="13">
        <v>37</v>
      </c>
      <c r="O2409" s="15"/>
      <c r="P2409" s="6">
        <v>41309.054618055554</v>
      </c>
      <c r="Q2409" s="17" t="s">
        <v>419</v>
      </c>
      <c r="R2409" s="16" t="s">
        <v>8190</v>
      </c>
      <c r="S2409" s="12"/>
      <c r="T2409" s="12"/>
      <c r="U2409" s="10" t="str">
        <f>HYPERLINK("https://pbs.twimg.com/profile_images/686536818939019264/N5v9ANV4.jpg","View")</f>
        <v>View</v>
      </c>
    </row>
    <row r="2410" spans="1:21" ht="30.6">
      <c r="A2410" s="6">
        <v>43422.056250000001</v>
      </c>
      <c r="B2410" s="7" t="str">
        <f>HYPERLINK("https://twitter.com/ElHuffPost","@ElHuffPost")</f>
        <v>@ElHuffPost</v>
      </c>
      <c r="C2410" s="8" t="s">
        <v>467</v>
      </c>
      <c r="D2410" s="9" t="s">
        <v>8191</v>
      </c>
      <c r="E2410" s="10" t="str">
        <f>HYPERLINK("https://twitter.com/ElHuffPost/status/1064086056843259904","1064086056843259904")</f>
        <v>1064086056843259904</v>
      </c>
      <c r="F2410" s="11" t="s">
        <v>4948</v>
      </c>
      <c r="G2410" s="12"/>
      <c r="H2410" s="12"/>
      <c r="I2410" s="13">
        <v>2</v>
      </c>
      <c r="J2410" s="13">
        <v>2</v>
      </c>
      <c r="K2410" s="14" t="str">
        <f>HYPERLINK("https://about.twitter.com/products/tweetdeck","TweetDeck")</f>
        <v>TweetDeck</v>
      </c>
      <c r="L2410" s="13">
        <v>430323</v>
      </c>
      <c r="M2410" s="13">
        <v>1532</v>
      </c>
      <c r="N2410" s="13">
        <v>8187</v>
      </c>
      <c r="O2410" s="19" t="s">
        <v>74</v>
      </c>
      <c r="P2410" s="6">
        <v>40784.652118055557</v>
      </c>
      <c r="Q2410" s="17" t="s">
        <v>203</v>
      </c>
      <c r="R2410" s="16" t="s">
        <v>471</v>
      </c>
      <c r="S2410" s="11" t="s">
        <v>472</v>
      </c>
      <c r="T2410" s="12"/>
      <c r="U2410" s="10" t="str">
        <f>HYPERLINK("https://pbs.twimg.com/profile_images/921140803422089217/ETOEUOAx.jpg","View")</f>
        <v>View</v>
      </c>
    </row>
    <row r="2411" spans="1:21" ht="30.6">
      <c r="A2411" s="6">
        <v>43422.054780092592</v>
      </c>
      <c r="B2411" s="7" t="str">
        <f>HYPERLINK("https://twitter.com/Xuxipc","@Xuxipc")</f>
        <v>@Xuxipc</v>
      </c>
      <c r="C2411" s="8" t="s">
        <v>1361</v>
      </c>
      <c r="D2411" s="9" t="s">
        <v>8192</v>
      </c>
      <c r="E2411" s="10" t="str">
        <f>HYPERLINK("https://twitter.com/Xuxipc/status/1064085524279959552","1064085524279959552")</f>
        <v>1064085524279959552</v>
      </c>
      <c r="F2411" s="12"/>
      <c r="G2411" s="12"/>
      <c r="H2411" s="12"/>
      <c r="I2411" s="13">
        <v>171</v>
      </c>
      <c r="J2411" s="13">
        <v>589</v>
      </c>
      <c r="K2411" s="14" t="str">
        <f>HYPERLINK("http://twitter.com/download/android","Twitter for Android")</f>
        <v>Twitter for Android</v>
      </c>
      <c r="L2411" s="13">
        <v>182356</v>
      </c>
      <c r="M2411" s="13">
        <v>280</v>
      </c>
      <c r="N2411" s="13">
        <v>1244</v>
      </c>
      <c r="O2411" s="15"/>
      <c r="P2411" s="6">
        <v>41297.293078703704</v>
      </c>
      <c r="Q2411" s="17" t="s">
        <v>1363</v>
      </c>
      <c r="R2411" s="16" t="s">
        <v>1364</v>
      </c>
      <c r="S2411" s="11" t="s">
        <v>1365</v>
      </c>
      <c r="T2411" s="12"/>
      <c r="U2411" s="10" t="str">
        <f>HYPERLINK("https://pbs.twimg.com/profile_images/1060442492217290752/p4rkMs-Y.jpg","View")</f>
        <v>View</v>
      </c>
    </row>
    <row r="2412" spans="1:21" ht="30.6">
      <c r="A2412" s="6">
        <v>43422.050358796296</v>
      </c>
      <c r="B2412" s="7" t="str">
        <f>HYPERLINK("https://twitter.com/Libertariannest","@Libertariannest")</f>
        <v>@Libertariannest</v>
      </c>
      <c r="C2412" s="8" t="s">
        <v>8193</v>
      </c>
      <c r="D2412" s="9" t="s">
        <v>6992</v>
      </c>
      <c r="E2412" s="10" t="str">
        <f>HYPERLINK("https://twitter.com/Libertariannest/status/1064083923427368960","1064083923427368960")</f>
        <v>1064083923427368960</v>
      </c>
      <c r="F2412" s="11" t="s">
        <v>6778</v>
      </c>
      <c r="G2412" s="12"/>
      <c r="H2412" s="12"/>
      <c r="I2412" s="13">
        <v>0</v>
      </c>
      <c r="J2412" s="13">
        <v>0</v>
      </c>
      <c r="K2412" s="14" t="str">
        <f>HYPERLINK("http://twitter.com","Twitter Web Client")</f>
        <v>Twitter Web Client</v>
      </c>
      <c r="L2412" s="13">
        <v>2474</v>
      </c>
      <c r="M2412" s="13">
        <v>1541</v>
      </c>
      <c r="N2412" s="13">
        <v>45</v>
      </c>
      <c r="O2412" s="15"/>
      <c r="P2412" s="6">
        <v>41994.090856481482</v>
      </c>
      <c r="Q2412" s="17" t="s">
        <v>1165</v>
      </c>
      <c r="R2412" s="16" t="s">
        <v>8194</v>
      </c>
      <c r="S2412" s="12"/>
      <c r="T2412" s="12"/>
      <c r="U2412" s="10" t="str">
        <f>HYPERLINK("https://pbs.twimg.com/profile_images/795585234871795712/tuf1GD-Y.jpg","View")</f>
        <v>View</v>
      </c>
    </row>
    <row r="2413" spans="1:21" ht="20.399999999999999">
      <c r="A2413" s="6">
        <v>43422.047164351854</v>
      </c>
      <c r="B2413" s="7" t="str">
        <f>HYPERLINK("https://twitter.com/julian_bustelo_","@julian_bustelo_")</f>
        <v>@julian_bustelo_</v>
      </c>
      <c r="C2413" s="8" t="s">
        <v>8195</v>
      </c>
      <c r="D2413" s="9" t="s">
        <v>8196</v>
      </c>
      <c r="E2413" s="10" t="str">
        <f>HYPERLINK("https://twitter.com/julian_bustelo_/status/1064082765581303808","1064082765581303808")</f>
        <v>1064082765581303808</v>
      </c>
      <c r="F2413" s="11" t="s">
        <v>8197</v>
      </c>
      <c r="G2413" s="12"/>
      <c r="H2413" s="12"/>
      <c r="I2413" s="13">
        <v>0</v>
      </c>
      <c r="J2413" s="13">
        <v>0</v>
      </c>
      <c r="K2413" s="14" t="str">
        <f t="shared" ref="K2413:K2415" si="450">HYPERLINK("http://twitter.com/download/android","Twitter for Android")</f>
        <v>Twitter for Android</v>
      </c>
      <c r="L2413" s="13">
        <v>104</v>
      </c>
      <c r="M2413" s="13">
        <v>386</v>
      </c>
      <c r="N2413" s="13">
        <v>0</v>
      </c>
      <c r="O2413" s="15"/>
      <c r="P2413" s="6">
        <v>43184.577905092592</v>
      </c>
      <c r="Q2413" s="12"/>
      <c r="R2413" s="16" t="s">
        <v>8198</v>
      </c>
      <c r="S2413" s="12"/>
      <c r="T2413" s="12"/>
      <c r="U2413" s="10" t="str">
        <f>HYPERLINK("https://pbs.twimg.com/profile_images/978015492219834368/dUm2vNha.jpg","View")</f>
        <v>View</v>
      </c>
    </row>
    <row r="2414" spans="1:21" ht="40.799999999999997">
      <c r="A2414" s="6">
        <v>43422.04614583333</v>
      </c>
      <c r="B2414" s="7" t="str">
        <f>HYPERLINK("https://twitter.com/dusogor","@dusogor")</f>
        <v>@dusogor</v>
      </c>
      <c r="C2414" s="8" t="s">
        <v>8199</v>
      </c>
      <c r="D2414" s="9" t="s">
        <v>8200</v>
      </c>
      <c r="E2414" s="10" t="str">
        <f>HYPERLINK("https://twitter.com/dusogor/status/1064082394611924993","1064082394611924993")</f>
        <v>1064082394611924993</v>
      </c>
      <c r="F2414" s="11" t="s">
        <v>4961</v>
      </c>
      <c r="G2414" s="12"/>
      <c r="H2414" s="12"/>
      <c r="I2414" s="13">
        <v>0</v>
      </c>
      <c r="J2414" s="13">
        <v>1</v>
      </c>
      <c r="K2414" s="14" t="str">
        <f t="shared" si="450"/>
        <v>Twitter for Android</v>
      </c>
      <c r="L2414" s="13">
        <v>4176</v>
      </c>
      <c r="M2414" s="13">
        <v>4923</v>
      </c>
      <c r="N2414" s="13">
        <v>2</v>
      </c>
      <c r="O2414" s="15"/>
      <c r="P2414" s="6">
        <v>40256.093668981484</v>
      </c>
      <c r="Q2414" s="12"/>
      <c r="R2414" s="18"/>
      <c r="S2414" s="12"/>
      <c r="T2414" s="12"/>
      <c r="U2414" s="10" t="str">
        <f>HYPERLINK("https://pbs.twimg.com/profile_images/926133829437452288/IlZyocmS.jpg","View")</f>
        <v>View</v>
      </c>
    </row>
    <row r="2415" spans="1:21" ht="40.799999999999997">
      <c r="A2415" s="6">
        <v>43422.044571759259</v>
      </c>
      <c r="B2415" s="7" t="str">
        <f>HYPERLINK("https://twitter.com/MarcMundet78","@MarcMundet78")</f>
        <v>@MarcMundet78</v>
      </c>
      <c r="C2415" s="8" t="s">
        <v>8201</v>
      </c>
      <c r="D2415" s="9" t="s">
        <v>8202</v>
      </c>
      <c r="E2415" s="10" t="str">
        <f>HYPERLINK("https://twitter.com/MarcMundet78/status/1064081827294523393","1064081827294523393")</f>
        <v>1064081827294523393</v>
      </c>
      <c r="F2415" s="11" t="s">
        <v>4961</v>
      </c>
      <c r="G2415" s="12"/>
      <c r="H2415" s="12"/>
      <c r="I2415" s="13">
        <v>4</v>
      </c>
      <c r="J2415" s="13">
        <v>6</v>
      </c>
      <c r="K2415" s="14" t="str">
        <f t="shared" si="450"/>
        <v>Twitter for Android</v>
      </c>
      <c r="L2415" s="13">
        <v>21871</v>
      </c>
      <c r="M2415" s="13">
        <v>856</v>
      </c>
      <c r="N2415" s="13">
        <v>520</v>
      </c>
      <c r="O2415" s="15"/>
      <c r="P2415" s="6">
        <v>40029.612256944441</v>
      </c>
      <c r="Q2415" s="17" t="s">
        <v>419</v>
      </c>
      <c r="R2415" s="16" t="s">
        <v>8203</v>
      </c>
      <c r="S2415" s="11" t="s">
        <v>8204</v>
      </c>
      <c r="T2415" s="12"/>
      <c r="U2415" s="10" t="str">
        <f>HYPERLINK("https://pbs.twimg.com/profile_images/432146789542526976/-0c1uru-.jpeg","View")</f>
        <v>View</v>
      </c>
    </row>
    <row r="2416" spans="1:21" ht="30.6">
      <c r="A2416" s="6">
        <v>43422.043483796297</v>
      </c>
      <c r="B2416" s="7" t="str">
        <f>HYPERLINK("https://twitter.com/XLFCG","@XLFCG")</f>
        <v>@XLFCG</v>
      </c>
      <c r="C2416" s="8" t="s">
        <v>8205</v>
      </c>
      <c r="D2416" s="9" t="s">
        <v>5246</v>
      </c>
      <c r="E2416" s="10" t="str">
        <f>HYPERLINK("https://twitter.com/XLFCG/status/1064081429817163777","1064081429817163777")</f>
        <v>1064081429817163777</v>
      </c>
      <c r="F2416" s="11" t="s">
        <v>4948</v>
      </c>
      <c r="G2416" s="12"/>
      <c r="H2416" s="12"/>
      <c r="I2416" s="13">
        <v>0</v>
      </c>
      <c r="J2416" s="13">
        <v>0</v>
      </c>
      <c r="K2416" s="14" t="str">
        <f>HYPERLINK("http://www.facebook.com/twitter","Facebook")</f>
        <v>Facebook</v>
      </c>
      <c r="L2416" s="13">
        <v>115</v>
      </c>
      <c r="M2416" s="13">
        <v>185</v>
      </c>
      <c r="N2416" s="13">
        <v>18</v>
      </c>
      <c r="O2416" s="15"/>
      <c r="P2416" s="6">
        <v>40864.425659722227</v>
      </c>
      <c r="Q2416" s="17" t="s">
        <v>143</v>
      </c>
      <c r="R2416" s="16" t="s">
        <v>8206</v>
      </c>
      <c r="S2416" s="12"/>
      <c r="T2416" s="12"/>
      <c r="U2416" s="10" t="str">
        <f>HYPERLINK("https://pbs.twimg.com/profile_images/1643960533/Luis.jpg","View")</f>
        <v>View</v>
      </c>
    </row>
    <row r="2417" spans="1:21" ht="30.6">
      <c r="A2417" s="6">
        <v>43422.042812500003</v>
      </c>
      <c r="B2417" s="7" t="str">
        <f>HYPERLINK("https://twitter.com/JulietaLionetti","@JulietaLionetti")</f>
        <v>@JulietaLionetti</v>
      </c>
      <c r="C2417" s="8" t="s">
        <v>8207</v>
      </c>
      <c r="D2417" s="9" t="s">
        <v>8208</v>
      </c>
      <c r="E2417" s="10" t="str">
        <f>HYPERLINK("https://twitter.com/JulietaLionetti/status/1064081189328302080","1064081189328302080")</f>
        <v>1064081189328302080</v>
      </c>
      <c r="F2417" s="11" t="s">
        <v>6822</v>
      </c>
      <c r="G2417" s="12"/>
      <c r="H2417" s="12"/>
      <c r="I2417" s="13">
        <v>0</v>
      </c>
      <c r="J2417" s="13">
        <v>0</v>
      </c>
      <c r="K2417" s="14" t="str">
        <f>HYPERLINK("http://twitter.com","Twitter Web Client")</f>
        <v>Twitter Web Client</v>
      </c>
      <c r="L2417" s="13">
        <v>6497</v>
      </c>
      <c r="M2417" s="13">
        <v>594</v>
      </c>
      <c r="N2417" s="13">
        <v>578</v>
      </c>
      <c r="O2417" s="15"/>
      <c r="P2417" s="6">
        <v>40118.764490740738</v>
      </c>
      <c r="Q2417" s="17" t="s">
        <v>187</v>
      </c>
      <c r="R2417" s="16" t="s">
        <v>8209</v>
      </c>
      <c r="S2417" s="11" t="s">
        <v>8210</v>
      </c>
      <c r="T2417" s="12"/>
      <c r="U2417" s="10" t="str">
        <f>HYPERLINK("https://pbs.twimg.com/profile_images/417993496088154113/DYx5zKnq.jpeg","View")</f>
        <v>View</v>
      </c>
    </row>
    <row r="2418" spans="1:21" ht="81.599999999999994">
      <c r="A2418" s="6">
        <v>43422.039282407408</v>
      </c>
      <c r="B2418" s="7" t="str">
        <f>HYPERLINK("https://twitter.com/MuyLiberal","@MuyLiberal")</f>
        <v>@MuyLiberal</v>
      </c>
      <c r="C2418" s="8" t="s">
        <v>5028</v>
      </c>
      <c r="D2418" s="9" t="s">
        <v>8211</v>
      </c>
      <c r="E2418" s="10" t="str">
        <f>HYPERLINK("https://twitter.com/MuyLiberal/status/1064079906651414528","1064079906651414528")</f>
        <v>1064079906651414528</v>
      </c>
      <c r="F2418" s="17" t="s">
        <v>8212</v>
      </c>
      <c r="G2418" s="11" t="s">
        <v>8166</v>
      </c>
      <c r="H2418" s="12"/>
      <c r="I2418" s="13">
        <v>2</v>
      </c>
      <c r="J2418" s="13">
        <v>5</v>
      </c>
      <c r="K2418" s="14" t="str">
        <f t="shared" ref="K2418:K2419" si="451">HYPERLINK("http://twitter.com/download/iphone","Twitter for iPhone")</f>
        <v>Twitter for iPhone</v>
      </c>
      <c r="L2418" s="13">
        <v>29339</v>
      </c>
      <c r="M2418" s="13">
        <v>1972</v>
      </c>
      <c r="N2418" s="13">
        <v>238</v>
      </c>
      <c r="O2418" s="19" t="s">
        <v>74</v>
      </c>
      <c r="P2418" s="6">
        <v>41184.409629629634</v>
      </c>
      <c r="Q2418" s="12"/>
      <c r="R2418" s="16" t="s">
        <v>5031</v>
      </c>
      <c r="S2418" s="11" t="s">
        <v>5032</v>
      </c>
      <c r="T2418" s="12"/>
      <c r="U2418" s="10" t="str">
        <f>HYPERLINK("https://pbs.twimg.com/profile_images/1065892129539530753/g638P6sH.jpg","View")</f>
        <v>View</v>
      </c>
    </row>
    <row r="2419" spans="1:21" ht="51">
      <c r="A2419" s="6">
        <v>43422.036666666667</v>
      </c>
      <c r="B2419" s="7" t="str">
        <f>HYPERLINK("https://twitter.com/josguema","@josguema")</f>
        <v>@josguema</v>
      </c>
      <c r="C2419" s="8" t="s">
        <v>964</v>
      </c>
      <c r="D2419" s="9" t="s">
        <v>8213</v>
      </c>
      <c r="E2419" s="10" t="str">
        <f>HYPERLINK("https://twitter.com/josguema/status/1064078960106094592","1064078960106094592")</f>
        <v>1064078960106094592</v>
      </c>
      <c r="F2419" s="12"/>
      <c r="G2419" s="11" t="s">
        <v>8214</v>
      </c>
      <c r="H2419" s="12"/>
      <c r="I2419" s="13">
        <v>76</v>
      </c>
      <c r="J2419" s="13">
        <v>74</v>
      </c>
      <c r="K2419" s="14" t="str">
        <f t="shared" si="451"/>
        <v>Twitter for iPhone</v>
      </c>
      <c r="L2419" s="13">
        <v>4069</v>
      </c>
      <c r="M2419" s="13">
        <v>2810</v>
      </c>
      <c r="N2419" s="13">
        <v>20</v>
      </c>
      <c r="O2419" s="15"/>
      <c r="P2419" s="6">
        <v>39902.430127314816</v>
      </c>
      <c r="Q2419" s="17" t="s">
        <v>968</v>
      </c>
      <c r="R2419" s="16" t="s">
        <v>969</v>
      </c>
      <c r="S2419" s="12"/>
      <c r="T2419" s="12"/>
      <c r="U2419" s="10" t="str">
        <f>HYPERLINK("https://pbs.twimg.com/profile_images/2554004906/e6bj9vbukpmawtab7cko.jpeg","View")</f>
        <v>View</v>
      </c>
    </row>
    <row r="2420" spans="1:21" ht="20.399999999999999">
      <c r="A2420" s="6">
        <v>43422.036145833335</v>
      </c>
      <c r="B2420" s="7" t="str">
        <f>HYPERLINK("https://twitter.com/jnievesugr","@jnievesugr")</f>
        <v>@jnievesugr</v>
      </c>
      <c r="C2420" s="8" t="s">
        <v>8215</v>
      </c>
      <c r="D2420" s="9" t="s">
        <v>8216</v>
      </c>
      <c r="E2420" s="10" t="str">
        <f>HYPERLINK("https://twitter.com/jnievesugr/status/1064078772260020224","1064078772260020224")</f>
        <v>1064078772260020224</v>
      </c>
      <c r="F2420" s="11" t="s">
        <v>4851</v>
      </c>
      <c r="G2420" s="12"/>
      <c r="H2420" s="12"/>
      <c r="I2420" s="13">
        <v>0</v>
      </c>
      <c r="J2420" s="13">
        <v>0</v>
      </c>
      <c r="K2420" s="14" t="str">
        <f>HYPERLINK("http://twitter.com/download/android","Twitter for Android")</f>
        <v>Twitter for Android</v>
      </c>
      <c r="L2420" s="13">
        <v>85</v>
      </c>
      <c r="M2420" s="13">
        <v>156</v>
      </c>
      <c r="N2420" s="13">
        <v>5</v>
      </c>
      <c r="O2420" s="15"/>
      <c r="P2420" s="6">
        <v>40877.605370370373</v>
      </c>
      <c r="Q2420" s="17" t="s">
        <v>8217</v>
      </c>
      <c r="R2420" s="16" t="s">
        <v>8218</v>
      </c>
      <c r="S2420" s="11" t="s">
        <v>8219</v>
      </c>
      <c r="T2420" s="12"/>
      <c r="U2420" s="10" t="str">
        <f>HYPERLINK("https://pbs.twimg.com/profile_images/1667450562/foto8_JLN.jpg","View")</f>
        <v>View</v>
      </c>
    </row>
    <row r="2421" spans="1:21" ht="40.799999999999997">
      <c r="A2421" s="6">
        <v>43422.034143518518</v>
      </c>
      <c r="B2421" s="7" t="str">
        <f>HYPERLINK("https://twitter.com/CandidoRuizRuiz","@CandidoRuizRuiz")</f>
        <v>@CandidoRuizRuiz</v>
      </c>
      <c r="C2421" s="8" t="s">
        <v>8113</v>
      </c>
      <c r="D2421" s="9" t="s">
        <v>8114</v>
      </c>
      <c r="E2421" s="10" t="str">
        <f>HYPERLINK("https://twitter.com/CandidoRuizRuiz/status/1064078046192377861","1064078046192377861")</f>
        <v>1064078046192377861</v>
      </c>
      <c r="F2421" s="11" t="s">
        <v>8115</v>
      </c>
      <c r="G2421" s="12"/>
      <c r="H2421" s="12"/>
      <c r="I2421" s="13">
        <v>0</v>
      </c>
      <c r="J2421" s="13">
        <v>0</v>
      </c>
      <c r="K2421" s="14" t="str">
        <f t="shared" ref="K2421:K2422" si="452">HYPERLINK("http://twitter.com","Twitter Web Client")</f>
        <v>Twitter Web Client</v>
      </c>
      <c r="L2421" s="13">
        <v>768</v>
      </c>
      <c r="M2421" s="13">
        <v>1184</v>
      </c>
      <c r="N2421" s="13">
        <v>31</v>
      </c>
      <c r="O2421" s="15"/>
      <c r="P2421" s="6">
        <v>40259.222083333334</v>
      </c>
      <c r="Q2421" s="17" t="s">
        <v>2395</v>
      </c>
      <c r="R2421" s="16" t="s">
        <v>8116</v>
      </c>
      <c r="S2421" s="11" t="s">
        <v>8117</v>
      </c>
      <c r="T2421" s="12"/>
      <c r="U2421" s="10" t="str">
        <f>HYPERLINK("https://pbs.twimg.com/profile_images/1052147314813542400/v0uQ0ZSL.jpg","View")</f>
        <v>View</v>
      </c>
    </row>
    <row r="2422" spans="1:21" ht="20.399999999999999">
      <c r="A2422" s="6">
        <v>43422.032118055555</v>
      </c>
      <c r="B2422" s="7" t="str">
        <f>HYPERLINK("https://twitter.com/DirecttravelES","@DirecttravelES")</f>
        <v>@DirecttravelES</v>
      </c>
      <c r="C2422" s="8" t="s">
        <v>8220</v>
      </c>
      <c r="D2422" s="9" t="s">
        <v>8221</v>
      </c>
      <c r="E2422" s="10" t="str">
        <f>HYPERLINK("https://twitter.com/DirecttravelES/status/1064077314135400450","1064077314135400450")</f>
        <v>1064077314135400450</v>
      </c>
      <c r="F2422" s="11" t="s">
        <v>6778</v>
      </c>
      <c r="G2422" s="12"/>
      <c r="H2422" s="12"/>
      <c r="I2422" s="13">
        <v>0</v>
      </c>
      <c r="J2422" s="13">
        <v>0</v>
      </c>
      <c r="K2422" s="14" t="str">
        <f t="shared" si="452"/>
        <v>Twitter Web Client</v>
      </c>
      <c r="L2422" s="13">
        <v>359</v>
      </c>
      <c r="M2422" s="13">
        <v>377</v>
      </c>
      <c r="N2422" s="13">
        <v>28</v>
      </c>
      <c r="O2422" s="15"/>
      <c r="P2422" s="6">
        <v>40263.440439814818</v>
      </c>
      <c r="Q2422" s="17" t="s">
        <v>810</v>
      </c>
      <c r="R2422" s="16" t="s">
        <v>8222</v>
      </c>
      <c r="S2422" s="11" t="s">
        <v>8223</v>
      </c>
      <c r="T2422" s="12"/>
      <c r="U2422" s="10" t="str">
        <f>HYPERLINK("https://pbs.twimg.com/profile_images/937749454786097153/tsu98eFC.jpg","View")</f>
        <v>View</v>
      </c>
    </row>
    <row r="2423" spans="1:21" ht="40.799999999999997">
      <c r="A2423" s="6">
        <v>43422.029699074075</v>
      </c>
      <c r="B2423" s="7" t="str">
        <f>HYPERLINK("https://twitter.com/ManuTorresTV","@ManuTorresTV")</f>
        <v>@ManuTorresTV</v>
      </c>
      <c r="C2423" s="8" t="s">
        <v>7878</v>
      </c>
      <c r="D2423" s="9" t="s">
        <v>8125</v>
      </c>
      <c r="E2423" s="10" t="str">
        <f>HYPERLINK("https://twitter.com/ManuTorresTV/status/1064076435307065344","1064076435307065344")</f>
        <v>1064076435307065344</v>
      </c>
      <c r="F2423" s="12"/>
      <c r="G2423" s="12"/>
      <c r="H2423" s="12"/>
      <c r="I2423" s="13">
        <v>1</v>
      </c>
      <c r="J2423" s="13">
        <v>8</v>
      </c>
      <c r="K2423" s="14" t="str">
        <f t="shared" ref="K2423:K2426" si="453">HYPERLINK("http://twitter.com/download/android","Twitter for Android")</f>
        <v>Twitter for Android</v>
      </c>
      <c r="L2423" s="13">
        <v>2198</v>
      </c>
      <c r="M2423" s="13">
        <v>1092</v>
      </c>
      <c r="N2423" s="13">
        <v>59</v>
      </c>
      <c r="O2423" s="15"/>
      <c r="P2423" s="6">
        <v>40682.358888888892</v>
      </c>
      <c r="Q2423" s="17" t="s">
        <v>7880</v>
      </c>
      <c r="R2423" s="16" t="s">
        <v>7881</v>
      </c>
      <c r="S2423" s="12"/>
      <c r="T2423" s="12"/>
      <c r="U2423" s="10" t="str">
        <f>HYPERLINK("https://pbs.twimg.com/profile_images/846846533828009984/PcxOkg6E.jpg","View")</f>
        <v>View</v>
      </c>
    </row>
    <row r="2424" spans="1:21" ht="40.799999999999997">
      <c r="A2424" s="6">
        <v>43422.028483796297</v>
      </c>
      <c r="B2424" s="7" t="str">
        <f>HYPERLINK("https://twitter.com/GquirogaGonzalo","@GquirogaGonzalo")</f>
        <v>@GquirogaGonzalo</v>
      </c>
      <c r="C2424" s="8" t="s">
        <v>3833</v>
      </c>
      <c r="D2424" s="9" t="s">
        <v>8224</v>
      </c>
      <c r="E2424" s="10" t="str">
        <f>HYPERLINK("https://twitter.com/GquirogaGonzalo/status/1064075994867425280","1064075994867425280")</f>
        <v>1064075994867425280</v>
      </c>
      <c r="F2424" s="12"/>
      <c r="G2424" s="12"/>
      <c r="H2424" s="12"/>
      <c r="I2424" s="13">
        <v>1</v>
      </c>
      <c r="J2424" s="13">
        <v>5</v>
      </c>
      <c r="K2424" s="14" t="str">
        <f t="shared" si="453"/>
        <v>Twitter for Android</v>
      </c>
      <c r="L2424" s="13">
        <v>2866</v>
      </c>
      <c r="M2424" s="13">
        <v>5001</v>
      </c>
      <c r="N2424" s="13">
        <v>30</v>
      </c>
      <c r="O2424" s="15"/>
      <c r="P2424" s="6">
        <v>41614.179907407408</v>
      </c>
      <c r="Q2424" s="12"/>
      <c r="R2424" s="16" t="s">
        <v>5642</v>
      </c>
      <c r="S2424" s="12"/>
      <c r="T2424" s="12"/>
      <c r="U2424" s="10" t="str">
        <f>HYPERLINK("https://pbs.twimg.com/profile_images/928029513669332992/h42Zg1ls.jpg","View")</f>
        <v>View</v>
      </c>
    </row>
    <row r="2425" spans="1:21" ht="71.400000000000006">
      <c r="A2425" s="6">
        <v>43422.027337962965</v>
      </c>
      <c r="B2425" s="7" t="str">
        <f>HYPERLINK("https://twitter.com/zalillo71","@zalillo71")</f>
        <v>@zalillo71</v>
      </c>
      <c r="C2425" s="8" t="s">
        <v>8225</v>
      </c>
      <c r="D2425" s="9" t="s">
        <v>8226</v>
      </c>
      <c r="E2425" s="10" t="str">
        <f>HYPERLINK("https://twitter.com/zalillo71/status/1064075581095059456","1064075581095059456")</f>
        <v>1064075581095059456</v>
      </c>
      <c r="F2425" s="17" t="s">
        <v>7339</v>
      </c>
      <c r="G2425" s="12"/>
      <c r="H2425" s="12"/>
      <c r="I2425" s="13">
        <v>0</v>
      </c>
      <c r="J2425" s="13">
        <v>0</v>
      </c>
      <c r="K2425" s="14" t="str">
        <f t="shared" si="453"/>
        <v>Twitter for Android</v>
      </c>
      <c r="L2425" s="13">
        <v>120</v>
      </c>
      <c r="M2425" s="13">
        <v>245</v>
      </c>
      <c r="N2425" s="13">
        <v>4</v>
      </c>
      <c r="O2425" s="15"/>
      <c r="P2425" s="6">
        <v>40647.266319444447</v>
      </c>
      <c r="Q2425" s="17" t="s">
        <v>4977</v>
      </c>
      <c r="R2425" s="16" t="s">
        <v>8227</v>
      </c>
      <c r="S2425" s="12"/>
      <c r="T2425" s="12"/>
      <c r="U2425" s="10" t="str">
        <f>HYPERLINK("https://pbs.twimg.com/profile_images/967401694484205568/W0U76sld.jpg","View")</f>
        <v>View</v>
      </c>
    </row>
    <row r="2426" spans="1:21" ht="81.599999999999994">
      <c r="A2426" s="6">
        <v>43422.02725694445</v>
      </c>
      <c r="B2426" s="7" t="str">
        <f>HYPERLINK("https://twitter.com/franciscesteban","@franciscesteban")</f>
        <v>@franciscesteban</v>
      </c>
      <c r="C2426" s="8" t="s">
        <v>8228</v>
      </c>
      <c r="D2426" s="9" t="s">
        <v>8229</v>
      </c>
      <c r="E2426" s="10" t="str">
        <f>HYPERLINK("https://twitter.com/franciscesteban/status/1064075550388613121","1064075550388613121")</f>
        <v>1064075550388613121</v>
      </c>
      <c r="F2426" s="11" t="s">
        <v>8230</v>
      </c>
      <c r="G2426" s="11" t="s">
        <v>8231</v>
      </c>
      <c r="H2426" s="12"/>
      <c r="I2426" s="13">
        <v>1</v>
      </c>
      <c r="J2426" s="13">
        <v>1</v>
      </c>
      <c r="K2426" s="14" t="str">
        <f t="shared" si="453"/>
        <v>Twitter for Android</v>
      </c>
      <c r="L2426" s="13">
        <v>367</v>
      </c>
      <c r="M2426" s="13">
        <v>823</v>
      </c>
      <c r="N2426" s="13">
        <v>6</v>
      </c>
      <c r="O2426" s="15"/>
      <c r="P2426" s="6">
        <v>40465.07540509259</v>
      </c>
      <c r="Q2426" s="17" t="s">
        <v>8232</v>
      </c>
      <c r="R2426" s="16" t="s">
        <v>8233</v>
      </c>
      <c r="S2426" s="11" t="s">
        <v>8234</v>
      </c>
      <c r="T2426" s="12"/>
      <c r="U2426" s="10" t="str">
        <f>HYPERLINK("https://pbs.twimg.com/profile_images/968181784830672898/zlB57gKS.jpg","View")</f>
        <v>View</v>
      </c>
    </row>
    <row r="2427" spans="1:21" ht="13.2">
      <c r="A2427" s="6">
        <v>43422.025497685187</v>
      </c>
      <c r="B2427" s="7" t="str">
        <f>HYPERLINK("https://twitter.com/mathusal9","@mathusal9")</f>
        <v>@mathusal9</v>
      </c>
      <c r="C2427" s="8" t="s">
        <v>3852</v>
      </c>
      <c r="D2427" s="9" t="s">
        <v>4850</v>
      </c>
      <c r="E2427" s="10" t="str">
        <f>HYPERLINK("https://twitter.com/mathusal9/status/1064074911336079360","1064074911336079360")</f>
        <v>1064074911336079360</v>
      </c>
      <c r="F2427" s="11" t="s">
        <v>4851</v>
      </c>
      <c r="G2427" s="12"/>
      <c r="H2427" s="12"/>
      <c r="I2427" s="13">
        <v>0</v>
      </c>
      <c r="J2427" s="13">
        <v>0</v>
      </c>
      <c r="K2427" s="14" t="str">
        <f t="shared" ref="K2427:K2428" si="454">HYPERLINK("http://twitter.com","Twitter Web Client")</f>
        <v>Twitter Web Client</v>
      </c>
      <c r="L2427" s="13">
        <v>692</v>
      </c>
      <c r="M2427" s="13">
        <v>1747</v>
      </c>
      <c r="N2427" s="13">
        <v>3</v>
      </c>
      <c r="O2427" s="15"/>
      <c r="P2427" s="6">
        <v>43049.423819444448</v>
      </c>
      <c r="Q2427" s="17" t="s">
        <v>160</v>
      </c>
      <c r="R2427" s="16" t="s">
        <v>3853</v>
      </c>
      <c r="S2427" s="12"/>
      <c r="T2427" s="12"/>
      <c r="U2427" s="10" t="str">
        <f>HYPERLINK("https://pbs.twimg.com/profile_images/936494587761385472/4QRLIAtv.jpg","View")</f>
        <v>View</v>
      </c>
    </row>
    <row r="2428" spans="1:21" ht="20.399999999999999">
      <c r="A2428" s="6">
        <v>43422.024814814809</v>
      </c>
      <c r="B2428" s="7" t="str">
        <f>HYPERLINK("https://twitter.com/puringerMe","@puringerMe")</f>
        <v>@puringerMe</v>
      </c>
      <c r="C2428" s="8" t="s">
        <v>5683</v>
      </c>
      <c r="D2428" s="9" t="s">
        <v>8235</v>
      </c>
      <c r="E2428" s="10" t="str">
        <f>HYPERLINK("https://twitter.com/puringerMe/status/1064074665952448512","1064074665952448512")</f>
        <v>1064074665952448512</v>
      </c>
      <c r="F2428" s="12"/>
      <c r="G2428" s="12"/>
      <c r="H2428" s="12"/>
      <c r="I2428" s="13">
        <v>3</v>
      </c>
      <c r="J2428" s="13">
        <v>38</v>
      </c>
      <c r="K2428" s="14" t="str">
        <f t="shared" si="454"/>
        <v>Twitter Web Client</v>
      </c>
      <c r="L2428" s="13">
        <v>5849</v>
      </c>
      <c r="M2428" s="13">
        <v>651</v>
      </c>
      <c r="N2428" s="13">
        <v>114</v>
      </c>
      <c r="O2428" s="15"/>
      <c r="P2428" s="6">
        <v>41412.037974537037</v>
      </c>
      <c r="Q2428" s="17" t="s">
        <v>5686</v>
      </c>
      <c r="R2428" s="16" t="s">
        <v>5687</v>
      </c>
      <c r="S2428" s="12"/>
      <c r="T2428" s="12"/>
      <c r="U2428" s="10" t="str">
        <f>HYPERLINK("https://pbs.twimg.com/profile_images/1056590118096658432/bUNbxSxB.jpg","View")</f>
        <v>View</v>
      </c>
    </row>
    <row r="2429" spans="1:21" ht="30.6">
      <c r="A2429" s="6">
        <v>43422.024097222224</v>
      </c>
      <c r="B2429" s="7" t="str">
        <f>HYPERLINK("https://twitter.com/ARMANDOCOLLADO1","@ARMANDOCOLLADO1")</f>
        <v>@ARMANDOCOLLADO1</v>
      </c>
      <c r="C2429" s="8" t="s">
        <v>8138</v>
      </c>
      <c r="D2429" s="9" t="s">
        <v>8139</v>
      </c>
      <c r="E2429" s="10" t="str">
        <f>HYPERLINK("https://twitter.com/ARMANDOCOLLADO1/status/1064074407109378048","1064074407109378048")</f>
        <v>1064074407109378048</v>
      </c>
      <c r="F2429" s="11" t="s">
        <v>4961</v>
      </c>
      <c r="G2429" s="12"/>
      <c r="H2429" s="12"/>
      <c r="I2429" s="13">
        <v>1</v>
      </c>
      <c r="J2429" s="13">
        <v>1</v>
      </c>
      <c r="K2429" s="14" t="str">
        <f>HYPERLINK("http://twitter.com/download/iphone","Twitter for iPhone")</f>
        <v>Twitter for iPhone</v>
      </c>
      <c r="L2429" s="13">
        <v>632</v>
      </c>
      <c r="M2429" s="13">
        <v>2031</v>
      </c>
      <c r="N2429" s="13">
        <v>3</v>
      </c>
      <c r="O2429" s="15"/>
      <c r="P2429" s="6">
        <v>40773.548495370371</v>
      </c>
      <c r="Q2429" s="17" t="s">
        <v>2198</v>
      </c>
      <c r="R2429" s="16" t="s">
        <v>8142</v>
      </c>
      <c r="S2429" s="12"/>
      <c r="T2429" s="12"/>
      <c r="U2429" s="10" t="str">
        <f>HYPERLINK("https://pbs.twimg.com/profile_images/1046473988346695680/vfQYGZRr.jpg","View")</f>
        <v>View</v>
      </c>
    </row>
    <row r="2430" spans="1:21" ht="40.799999999999997">
      <c r="A2430" s="6">
        <v>43422.020046296297</v>
      </c>
      <c r="B2430" s="7" t="str">
        <f>HYPERLINK("https://twitter.com/VidalQuadras","@VidalQuadras")</f>
        <v>@VidalQuadras</v>
      </c>
      <c r="C2430" s="8" t="s">
        <v>4970</v>
      </c>
      <c r="D2430" s="9" t="s">
        <v>8236</v>
      </c>
      <c r="E2430" s="10" t="str">
        <f>HYPERLINK("https://twitter.com/VidalQuadras/status/1064072938134081536","1064072938134081536")</f>
        <v>1064072938134081536</v>
      </c>
      <c r="F2430" s="11" t="s">
        <v>6954</v>
      </c>
      <c r="G2430" s="12"/>
      <c r="H2430" s="12"/>
      <c r="I2430" s="13">
        <v>15</v>
      </c>
      <c r="J2430" s="13">
        <v>29</v>
      </c>
      <c r="K2430" s="14" t="str">
        <f t="shared" ref="K2430:K2431" si="455">HYPERLINK("http://twitter.com","Twitter Web Client")</f>
        <v>Twitter Web Client</v>
      </c>
      <c r="L2430" s="13">
        <v>65846</v>
      </c>
      <c r="M2430" s="13">
        <v>731</v>
      </c>
      <c r="N2430" s="13">
        <v>625</v>
      </c>
      <c r="O2430" s="15"/>
      <c r="P2430" s="6">
        <v>40372.11209490741</v>
      </c>
      <c r="Q2430" s="17" t="s">
        <v>143</v>
      </c>
      <c r="R2430" s="16" t="s">
        <v>4972</v>
      </c>
      <c r="S2430" s="12"/>
      <c r="T2430" s="12"/>
      <c r="U2430" s="10" t="str">
        <f>HYPERLINK("https://pbs.twimg.com/profile_images/456353136148377601/j9IsCOnt.jpeg","View")</f>
        <v>View</v>
      </c>
    </row>
    <row r="2431" spans="1:21" ht="30.6">
      <c r="A2431" s="6">
        <v>43422.019548611112</v>
      </c>
      <c r="B2431" s="7" t="str">
        <f>HYPERLINK("https://twitter.com/CatalanAnalyst","@CatalanAnalyst")</f>
        <v>@CatalanAnalyst</v>
      </c>
      <c r="C2431" s="8" t="s">
        <v>8237</v>
      </c>
      <c r="D2431" s="9" t="s">
        <v>8238</v>
      </c>
      <c r="E2431" s="10" t="str">
        <f>HYPERLINK("https://twitter.com/CatalanAnalyst/status/1064072758647287808","1064072758647287808")</f>
        <v>1064072758647287808</v>
      </c>
      <c r="F2431" s="11" t="s">
        <v>7772</v>
      </c>
      <c r="G2431" s="12"/>
      <c r="H2431" s="12"/>
      <c r="I2431" s="13">
        <v>0</v>
      </c>
      <c r="J2431" s="13">
        <v>0</v>
      </c>
      <c r="K2431" s="14" t="str">
        <f t="shared" si="455"/>
        <v>Twitter Web Client</v>
      </c>
      <c r="L2431" s="13">
        <v>1561</v>
      </c>
      <c r="M2431" s="13">
        <v>1063</v>
      </c>
      <c r="N2431" s="13">
        <v>55</v>
      </c>
      <c r="O2431" s="15"/>
      <c r="P2431" s="6">
        <v>42228.300289351857</v>
      </c>
      <c r="Q2431" s="17" t="s">
        <v>8239</v>
      </c>
      <c r="R2431" s="28" t="s">
        <v>8240</v>
      </c>
      <c r="S2431" s="11" t="s">
        <v>8241</v>
      </c>
      <c r="T2431" s="12"/>
      <c r="U2431" s="10" t="str">
        <f>HYPERLINK("https://pbs.twimg.com/profile_images/672374611246452738/oM1fXmFA.jpg","View")</f>
        <v>View</v>
      </c>
    </row>
    <row r="2432" spans="1:21" ht="40.799999999999997">
      <c r="A2432" s="6">
        <v>43422.01944444445</v>
      </c>
      <c r="B2432" s="7" t="str">
        <f>HYPERLINK("https://twitter.com/jaume_pros","@jaume_pros")</f>
        <v>@jaume_pros</v>
      </c>
      <c r="C2432" s="8" t="s">
        <v>8242</v>
      </c>
      <c r="D2432" s="9" t="s">
        <v>8243</v>
      </c>
      <c r="E2432" s="10" t="str">
        <f>HYPERLINK("https://twitter.com/jaume_pros/status/1064072720084807681","1064072720084807681")</f>
        <v>1064072720084807681</v>
      </c>
      <c r="F2432" s="11" t="s">
        <v>6099</v>
      </c>
      <c r="G2432" s="12"/>
      <c r="H2432" s="12"/>
      <c r="I2432" s="13">
        <v>0</v>
      </c>
      <c r="J2432" s="13">
        <v>0</v>
      </c>
      <c r="K2432" s="14" t="str">
        <f t="shared" ref="K2432:K2433" si="456">HYPERLINK("http://twitter.com/download/android","Twitter for Android")</f>
        <v>Twitter for Android</v>
      </c>
      <c r="L2432" s="13">
        <v>10249</v>
      </c>
      <c r="M2432" s="13">
        <v>6048</v>
      </c>
      <c r="N2432" s="13">
        <v>85</v>
      </c>
      <c r="O2432" s="15"/>
      <c r="P2432" s="6">
        <v>40669.425729166665</v>
      </c>
      <c r="Q2432" s="17" t="s">
        <v>419</v>
      </c>
      <c r="R2432" s="16" t="s">
        <v>8244</v>
      </c>
      <c r="S2432" s="11" t="s">
        <v>8245</v>
      </c>
      <c r="T2432" s="12"/>
      <c r="U2432" s="10" t="str">
        <f>HYPERLINK("https://pbs.twimg.com/profile_images/1051911791780028416/0l5K8ccN.jpg","View")</f>
        <v>View</v>
      </c>
    </row>
    <row r="2433" spans="1:21" ht="40.799999999999997">
      <c r="A2433" s="6">
        <v>43422.017418981486</v>
      </c>
      <c r="B2433" s="7" t="str">
        <f>HYPERLINK("https://twitter.com/javiolito","@javiolito")</f>
        <v>@javiolito</v>
      </c>
      <c r="C2433" s="8" t="s">
        <v>8246</v>
      </c>
      <c r="D2433" s="9" t="s">
        <v>8247</v>
      </c>
      <c r="E2433" s="10" t="str">
        <f>HYPERLINK("https://twitter.com/javiolito/status/1064071986916352001","1064071986916352001")</f>
        <v>1064071986916352001</v>
      </c>
      <c r="F2433" s="11" t="s">
        <v>6778</v>
      </c>
      <c r="G2433" s="12"/>
      <c r="H2433" s="12"/>
      <c r="I2433" s="13">
        <v>0</v>
      </c>
      <c r="J2433" s="13">
        <v>0</v>
      </c>
      <c r="K2433" s="14" t="str">
        <f t="shared" si="456"/>
        <v>Twitter for Android</v>
      </c>
      <c r="L2433" s="13">
        <v>755</v>
      </c>
      <c r="M2433" s="13">
        <v>248</v>
      </c>
      <c r="N2433" s="13">
        <v>10</v>
      </c>
      <c r="O2433" s="15"/>
      <c r="P2433" s="6">
        <v>41352.465312500004</v>
      </c>
      <c r="Q2433" s="17" t="s">
        <v>29</v>
      </c>
      <c r="R2433" s="16" t="s">
        <v>8248</v>
      </c>
      <c r="S2433" s="12"/>
      <c r="T2433" s="12"/>
      <c r="U2433" s="10" t="str">
        <f>HYPERLINK("https://pbs.twimg.com/profile_images/882245977775767553/1dZVRHsT.jpg","View")</f>
        <v>View</v>
      </c>
    </row>
    <row r="2434" spans="1:21" ht="30.6">
      <c r="A2434" s="6">
        <v>43422.016956018517</v>
      </c>
      <c r="B2434" s="7" t="str">
        <f>HYPERLINK("https://twitter.com/xequidistanovic","@xequidistanovic")</f>
        <v>@xequidistanovic</v>
      </c>
      <c r="C2434" s="8" t="s">
        <v>8249</v>
      </c>
      <c r="D2434" s="9" t="s">
        <v>8250</v>
      </c>
      <c r="E2434" s="10" t="str">
        <f>HYPERLINK("https://twitter.com/xequidistanovic/status/1064071816883437568","1064071816883437568")</f>
        <v>1064071816883437568</v>
      </c>
      <c r="F2434" s="11" t="s">
        <v>8251</v>
      </c>
      <c r="G2434" s="12"/>
      <c r="H2434" s="12"/>
      <c r="I2434" s="13">
        <v>1</v>
      </c>
      <c r="J2434" s="13">
        <v>1</v>
      </c>
      <c r="K2434" s="14" t="str">
        <f t="shared" ref="K2434:K2435" si="457">HYPERLINK("http://twitter.com/download/iphone","Twitter for iPhone")</f>
        <v>Twitter for iPhone</v>
      </c>
      <c r="L2434" s="13">
        <v>24</v>
      </c>
      <c r="M2434" s="13">
        <v>188</v>
      </c>
      <c r="N2434" s="13">
        <v>0</v>
      </c>
      <c r="O2434" s="15"/>
      <c r="P2434" s="6">
        <v>40656.54619212963</v>
      </c>
      <c r="Q2434" s="17" t="s">
        <v>2198</v>
      </c>
      <c r="R2434" s="18"/>
      <c r="S2434" s="12"/>
      <c r="T2434" s="12"/>
      <c r="U2434" s="10" t="str">
        <f>HYPERLINK("https://pbs.twimg.com/profile_images/1032188664326041600/Gy0Xfd4k.jpg","View")</f>
        <v>View</v>
      </c>
    </row>
    <row r="2435" spans="1:21" ht="61.2">
      <c r="A2435" s="6">
        <v>43422.015590277777</v>
      </c>
      <c r="B2435" s="7" t="str">
        <f>HYPERLINK("https://twitter.com/pichicucho","@pichicucho")</f>
        <v>@pichicucho</v>
      </c>
      <c r="C2435" s="8" t="s">
        <v>8252</v>
      </c>
      <c r="D2435" s="9" t="s">
        <v>8253</v>
      </c>
      <c r="E2435" s="10" t="str">
        <f>HYPERLINK("https://twitter.com/pichicucho/status/1064071321548660737","1064071321548660737")</f>
        <v>1064071321548660737</v>
      </c>
      <c r="F2435" s="17" t="s">
        <v>8254</v>
      </c>
      <c r="G2435" s="11" t="s">
        <v>440</v>
      </c>
      <c r="H2435" s="12"/>
      <c r="I2435" s="13">
        <v>2</v>
      </c>
      <c r="J2435" s="13">
        <v>1</v>
      </c>
      <c r="K2435" s="14" t="str">
        <f t="shared" si="457"/>
        <v>Twitter for iPhone</v>
      </c>
      <c r="L2435" s="13">
        <v>4938</v>
      </c>
      <c r="M2435" s="13">
        <v>4629</v>
      </c>
      <c r="N2435" s="13">
        <v>13</v>
      </c>
      <c r="O2435" s="15"/>
      <c r="P2435" s="6">
        <v>40250.443738425922</v>
      </c>
      <c r="Q2435" s="12"/>
      <c r="R2435" s="16" t="s">
        <v>8255</v>
      </c>
      <c r="S2435" s="11" t="s">
        <v>8256</v>
      </c>
      <c r="T2435" s="12"/>
      <c r="U2435" s="10" t="str">
        <f>HYPERLINK("https://pbs.twimg.com/profile_images/881577057913798656/3QrY1FyP.jpg","View")</f>
        <v>View</v>
      </c>
    </row>
    <row r="2436" spans="1:21" ht="61.2">
      <c r="A2436" s="6">
        <v>43422.013680555552</v>
      </c>
      <c r="B2436" s="7" t="str">
        <f>HYPERLINK("https://twitter.com/MCclovato","@MCclovato")</f>
        <v>@MCclovato</v>
      </c>
      <c r="C2436" s="8" t="s">
        <v>8257</v>
      </c>
      <c r="D2436" s="9" t="s">
        <v>8258</v>
      </c>
      <c r="E2436" s="10" t="str">
        <f>HYPERLINK("https://twitter.com/MCclovato/status/1064070629224312832","1064070629224312832")</f>
        <v>1064070629224312832</v>
      </c>
      <c r="F2436" s="17" t="s">
        <v>465</v>
      </c>
      <c r="G2436" s="12"/>
      <c r="H2436" s="12"/>
      <c r="I2436" s="13">
        <v>0</v>
      </c>
      <c r="J2436" s="13">
        <v>1</v>
      </c>
      <c r="K2436" s="14" t="str">
        <f>HYPERLINK("http://twitter.com/download/android","Twitter for Android")</f>
        <v>Twitter for Android</v>
      </c>
      <c r="L2436" s="13">
        <v>213</v>
      </c>
      <c r="M2436" s="13">
        <v>115</v>
      </c>
      <c r="N2436" s="13">
        <v>3</v>
      </c>
      <c r="O2436" s="15"/>
      <c r="P2436" s="6">
        <v>40621.114641203705</v>
      </c>
      <c r="Q2436" s="17" t="s">
        <v>8259</v>
      </c>
      <c r="R2436" s="16" t="s">
        <v>8260</v>
      </c>
      <c r="S2436" s="11" t="s">
        <v>8261</v>
      </c>
      <c r="T2436" s="12"/>
      <c r="U2436" s="10" t="str">
        <f>HYPERLINK("https://pbs.twimg.com/profile_images/884806166500343808/rkq6nfrz.jpg","View")</f>
        <v>View</v>
      </c>
    </row>
    <row r="2437" spans="1:21" ht="20.399999999999999">
      <c r="A2437" s="6">
        <v>43422.012499999997</v>
      </c>
      <c r="B2437" s="7" t="str">
        <f>HYPERLINK("https://twitter.com/albertcastellon","@albertcastellon")</f>
        <v>@albertcastellon</v>
      </c>
      <c r="C2437" s="8" t="s">
        <v>8262</v>
      </c>
      <c r="D2437" s="9" t="s">
        <v>8263</v>
      </c>
      <c r="E2437" s="10" t="str">
        <f>HYPERLINK("https://twitter.com/albertcastellon/status/1064070203284307968","1064070203284307968")</f>
        <v>1064070203284307968</v>
      </c>
      <c r="F2437" s="11" t="s">
        <v>6822</v>
      </c>
      <c r="G2437" s="12"/>
      <c r="H2437" s="12"/>
      <c r="I2437" s="13">
        <v>5</v>
      </c>
      <c r="J2437" s="13">
        <v>5</v>
      </c>
      <c r="K2437" s="14" t="str">
        <f>HYPERLINK("http://twitter.com","Twitter Web Client")</f>
        <v>Twitter Web Client</v>
      </c>
      <c r="L2437" s="13">
        <v>4577</v>
      </c>
      <c r="M2437" s="13">
        <v>1334</v>
      </c>
      <c r="N2437" s="13">
        <v>107</v>
      </c>
      <c r="O2437" s="15"/>
      <c r="P2437" s="6">
        <v>40456.460081018522</v>
      </c>
      <c r="Q2437" s="17" t="s">
        <v>1579</v>
      </c>
      <c r="R2437" s="16" t="s">
        <v>8264</v>
      </c>
      <c r="S2437" s="11" t="s">
        <v>8265</v>
      </c>
      <c r="T2437" s="12"/>
      <c r="U2437" s="10" t="str">
        <f>HYPERLINK("https://pbs.twimg.com/profile_images/981151367900393472/_1Yws32w.jpg","View")</f>
        <v>View</v>
      </c>
    </row>
    <row r="2438" spans="1:21" ht="30.6">
      <c r="A2438" s="6">
        <v>43422.012118055558</v>
      </c>
      <c r="B2438" s="7" t="str">
        <f>HYPERLINK("https://twitter.com/curroflores1952","@curroflores1952")</f>
        <v>@curroflores1952</v>
      </c>
      <c r="C2438" s="8" t="s">
        <v>8266</v>
      </c>
      <c r="D2438" s="9" t="s">
        <v>8267</v>
      </c>
      <c r="E2438" s="10" t="str">
        <f>HYPERLINK("https://twitter.com/curroflores1952/status/1064070064402518016","1064070064402518016")</f>
        <v>1064070064402518016</v>
      </c>
      <c r="F2438" s="11" t="s">
        <v>8268</v>
      </c>
      <c r="G2438" s="12"/>
      <c r="H2438" s="12"/>
      <c r="I2438" s="13">
        <v>1</v>
      </c>
      <c r="J2438" s="13">
        <v>0</v>
      </c>
      <c r="K2438" s="14" t="str">
        <f t="shared" ref="K2438:K2439" si="458">HYPERLINK("http://twitter.com/download/android","Twitter for Android")</f>
        <v>Twitter for Android</v>
      </c>
      <c r="L2438" s="13">
        <v>42322</v>
      </c>
      <c r="M2438" s="13">
        <v>45037</v>
      </c>
      <c r="N2438" s="13">
        <v>328</v>
      </c>
      <c r="O2438" s="15"/>
      <c r="P2438" s="6">
        <v>41048.541099537033</v>
      </c>
      <c r="Q2438" s="17" t="s">
        <v>268</v>
      </c>
      <c r="R2438" s="16" t="s">
        <v>8269</v>
      </c>
      <c r="S2438" s="11" t="s">
        <v>8270</v>
      </c>
      <c r="T2438" s="12"/>
      <c r="U2438" s="10" t="str">
        <f>HYPERLINK("https://pbs.twimg.com/profile_images/453068623662174208/a_0n3b6e.jpeg","View")</f>
        <v>View</v>
      </c>
    </row>
    <row r="2439" spans="1:21" ht="30.6">
      <c r="A2439" s="6">
        <v>43422.009699074071</v>
      </c>
      <c r="B2439" s="7" t="str">
        <f>HYPERLINK("https://twitter.com/JuanMan36650598","@JuanMan36650598")</f>
        <v>@JuanMan36650598</v>
      </c>
      <c r="C2439" s="8" t="s">
        <v>8271</v>
      </c>
      <c r="D2439" s="9" t="s">
        <v>8272</v>
      </c>
      <c r="E2439" s="10" t="str">
        <f>HYPERLINK("https://twitter.com/JuanMan36650598/status/1064069186891276288","1064069186891276288")</f>
        <v>1064069186891276288</v>
      </c>
      <c r="F2439" s="11" t="s">
        <v>6150</v>
      </c>
      <c r="G2439" s="11" t="s">
        <v>440</v>
      </c>
      <c r="H2439" s="12"/>
      <c r="I2439" s="13">
        <v>0</v>
      </c>
      <c r="J2439" s="13">
        <v>1</v>
      </c>
      <c r="K2439" s="14" t="str">
        <f t="shared" si="458"/>
        <v>Twitter for Android</v>
      </c>
      <c r="L2439" s="13">
        <v>705</v>
      </c>
      <c r="M2439" s="13">
        <v>1747</v>
      </c>
      <c r="N2439" s="13">
        <v>0</v>
      </c>
      <c r="O2439" s="15"/>
      <c r="P2439" s="6">
        <v>42928.390243055561</v>
      </c>
      <c r="Q2439" s="17" t="s">
        <v>8273</v>
      </c>
      <c r="R2439" s="16" t="s">
        <v>8274</v>
      </c>
      <c r="S2439" s="12"/>
      <c r="T2439" s="12"/>
      <c r="U2439" s="10" t="str">
        <f>HYPERLINK("https://pbs.twimg.com/profile_images/917336309382905857/mT8QEN9W.jpg","View")</f>
        <v>View</v>
      </c>
    </row>
    <row r="2440" spans="1:21" ht="20.399999999999999">
      <c r="A2440" s="6">
        <v>43422.008194444439</v>
      </c>
      <c r="B2440" s="7" t="str">
        <f>HYPERLINK("https://twitter.com/sasio_alc","@sasio_alc")</f>
        <v>@sasio_alc</v>
      </c>
      <c r="C2440" s="8" t="s">
        <v>8275</v>
      </c>
      <c r="D2440" s="9" t="s">
        <v>8276</v>
      </c>
      <c r="E2440" s="10" t="str">
        <f>HYPERLINK("https://twitter.com/sasio_alc/status/1064068644043399173","1064068644043399173")</f>
        <v>1064068644043399173</v>
      </c>
      <c r="F2440" s="12"/>
      <c r="G2440" s="12"/>
      <c r="H2440" s="12"/>
      <c r="I2440" s="13">
        <v>0</v>
      </c>
      <c r="J2440" s="13">
        <v>0</v>
      </c>
      <c r="K2440" s="14" t="str">
        <f>HYPERLINK("http://twitter.com/download/iphone","Twitter for iPhone")</f>
        <v>Twitter for iPhone</v>
      </c>
      <c r="L2440" s="13">
        <v>294</v>
      </c>
      <c r="M2440" s="13">
        <v>542</v>
      </c>
      <c r="N2440" s="13">
        <v>11</v>
      </c>
      <c r="O2440" s="15"/>
      <c r="P2440" s="6">
        <v>40563.328217592592</v>
      </c>
      <c r="Q2440" s="12"/>
      <c r="R2440" s="16" t="s">
        <v>8277</v>
      </c>
      <c r="S2440" s="12"/>
      <c r="T2440" s="12"/>
      <c r="U2440" s="10" t="str">
        <f>HYPERLINK("https://pbs.twimg.com/profile_images/3578180530/d54db0fa6266af5f781dbae220dd4e19.jpeg","View")</f>
        <v>View</v>
      </c>
    </row>
    <row r="2441" spans="1:21" ht="20.399999999999999">
      <c r="A2441" s="6">
        <v>43422.0075462963</v>
      </c>
      <c r="B2441" s="7" t="str">
        <f>HYPERLINK("https://twitter.com/Koldo_CF","@Koldo_CF")</f>
        <v>@Koldo_CF</v>
      </c>
      <c r="C2441" s="8" t="s">
        <v>8278</v>
      </c>
      <c r="D2441" s="9" t="s">
        <v>8279</v>
      </c>
      <c r="E2441" s="10" t="str">
        <f>HYPERLINK("https://twitter.com/Koldo_CF/status/1064068409770545153","1064068409770545153")</f>
        <v>1064068409770545153</v>
      </c>
      <c r="F2441" s="11" t="s">
        <v>8280</v>
      </c>
      <c r="G2441" s="12"/>
      <c r="H2441" s="12"/>
      <c r="I2441" s="13">
        <v>1</v>
      </c>
      <c r="J2441" s="13">
        <v>1</v>
      </c>
      <c r="K2441" s="14" t="str">
        <f t="shared" ref="K2441:K2442" si="459">HYPERLINK("http://twitter.com/download/android","Twitter for Android")</f>
        <v>Twitter for Android</v>
      </c>
      <c r="L2441" s="13">
        <v>250</v>
      </c>
      <c r="M2441" s="13">
        <v>384</v>
      </c>
      <c r="N2441" s="13">
        <v>3</v>
      </c>
      <c r="O2441" s="15"/>
      <c r="P2441" s="6">
        <v>42472.118993055556</v>
      </c>
      <c r="Q2441" s="12"/>
      <c r="R2441" s="16" t="s">
        <v>8281</v>
      </c>
      <c r="S2441" s="12"/>
      <c r="T2441" s="12"/>
      <c r="U2441" s="10" t="str">
        <f>HYPERLINK("https://pbs.twimg.com/profile_images/1058687842174558209/wY-uXncO.jpg","View")</f>
        <v>View</v>
      </c>
    </row>
    <row r="2442" spans="1:21" ht="40.799999999999997">
      <c r="A2442" s="6">
        <v>43422.003530092596</v>
      </c>
      <c r="B2442" s="7" t="str">
        <f>HYPERLINK("https://twitter.com/TitoBdn84","@TitoBdn84")</f>
        <v>@TitoBdn84</v>
      </c>
      <c r="C2442" s="8" t="s">
        <v>8282</v>
      </c>
      <c r="D2442" s="9" t="s">
        <v>8283</v>
      </c>
      <c r="E2442" s="10" t="str">
        <f>HYPERLINK("https://twitter.com/TitoBdn84/status/1064066952451244032","1064066952451244032")</f>
        <v>1064066952451244032</v>
      </c>
      <c r="F2442" s="11" t="s">
        <v>8284</v>
      </c>
      <c r="G2442" s="12"/>
      <c r="H2442" s="12"/>
      <c r="I2442" s="13">
        <v>0</v>
      </c>
      <c r="J2442" s="13">
        <v>1</v>
      </c>
      <c r="K2442" s="14" t="str">
        <f t="shared" si="459"/>
        <v>Twitter for Android</v>
      </c>
      <c r="L2442" s="13">
        <v>20</v>
      </c>
      <c r="M2442" s="13">
        <v>127</v>
      </c>
      <c r="N2442" s="13">
        <v>0</v>
      </c>
      <c r="O2442" s="15"/>
      <c r="P2442" s="6">
        <v>41327.081770833334</v>
      </c>
      <c r="Q2442" s="17" t="s">
        <v>5890</v>
      </c>
      <c r="R2442" s="18"/>
      <c r="S2442" s="12"/>
      <c r="T2442" s="12"/>
      <c r="U2442" s="10" t="str">
        <f>HYPERLINK("https://pbs.twimg.com/profile_images/918193143824240640/hOyOVhxs.jpg","View")</f>
        <v>View</v>
      </c>
    </row>
    <row r="2443" spans="1:21" ht="40.799999999999997">
      <c r="A2443" s="6">
        <v>43422.002928240741</v>
      </c>
      <c r="B2443" s="7" t="str">
        <f>HYPERLINK("https://twitter.com/puertocruz05","@puertocruz05")</f>
        <v>@puertocruz05</v>
      </c>
      <c r="C2443" s="8" t="s">
        <v>8285</v>
      </c>
      <c r="D2443" s="9" t="s">
        <v>8286</v>
      </c>
      <c r="E2443" s="10" t="str">
        <f>HYPERLINK("https://twitter.com/puertocruz05/status/1064066734368395264","1064066734368395264")</f>
        <v>1064066734368395264</v>
      </c>
      <c r="F2443" s="17" t="s">
        <v>8287</v>
      </c>
      <c r="G2443" s="12"/>
      <c r="H2443" s="12"/>
      <c r="I2443" s="13">
        <v>0</v>
      </c>
      <c r="J2443" s="13">
        <v>0</v>
      </c>
      <c r="K2443" s="14" t="str">
        <f>HYPERLINK("http://twitter.com/#!/download/ipad","Twitter for iPad")</f>
        <v>Twitter for iPad</v>
      </c>
      <c r="L2443" s="13">
        <v>343</v>
      </c>
      <c r="M2443" s="13">
        <v>961</v>
      </c>
      <c r="N2443" s="13">
        <v>16</v>
      </c>
      <c r="O2443" s="15"/>
      <c r="P2443" s="6">
        <v>41259.117175925923</v>
      </c>
      <c r="Q2443" s="12"/>
      <c r="R2443" s="16" t="s">
        <v>8288</v>
      </c>
      <c r="S2443" s="12"/>
      <c r="T2443" s="12"/>
      <c r="U2443" s="10" t="str">
        <f>HYPERLINK("https://pbs.twimg.com/profile_images/2981980426/f8258064e2f84e2f4c483b7c7811c046.jpeg","View")</f>
        <v>View</v>
      </c>
    </row>
    <row r="2444" spans="1:21" ht="30.6">
      <c r="A2444" s="6">
        <v>43422.001944444448</v>
      </c>
      <c r="B2444" s="7" t="str">
        <f>HYPERLINK("https://twitter.com/ANTONICOMPTA","@ANTONICOMPTA")</f>
        <v>@ANTONICOMPTA</v>
      </c>
      <c r="C2444" s="8" t="s">
        <v>8289</v>
      </c>
      <c r="D2444" s="9" t="s">
        <v>8290</v>
      </c>
      <c r="E2444" s="10" t="str">
        <f>HYPERLINK("https://twitter.com/ANTONICOMPTA/status/1064066378511130625","1064066378511130625")</f>
        <v>1064066378511130625</v>
      </c>
      <c r="F2444" s="11" t="s">
        <v>4961</v>
      </c>
      <c r="G2444" s="12"/>
      <c r="H2444" s="12"/>
      <c r="I2444" s="13">
        <v>0</v>
      </c>
      <c r="J2444" s="13">
        <v>0</v>
      </c>
      <c r="K2444" s="14" t="str">
        <f t="shared" ref="K2444:K2445" si="460">HYPERLINK("http://twitter.com/download/android","Twitter for Android")</f>
        <v>Twitter for Android</v>
      </c>
      <c r="L2444" s="13">
        <v>871</v>
      </c>
      <c r="M2444" s="13">
        <v>1097</v>
      </c>
      <c r="N2444" s="13">
        <v>61</v>
      </c>
      <c r="O2444" s="15"/>
      <c r="P2444" s="6">
        <v>40491.358298611114</v>
      </c>
      <c r="Q2444" s="17" t="s">
        <v>8291</v>
      </c>
      <c r="R2444" s="16" t="s">
        <v>8292</v>
      </c>
      <c r="S2444" s="12"/>
      <c r="T2444" s="12"/>
      <c r="U2444" s="10" t="str">
        <f>HYPERLINK("https://pbs.twimg.com/profile_images/921096794431524869/I6kDhjpl.jpg","View")</f>
        <v>View</v>
      </c>
    </row>
    <row r="2445" spans="1:21" ht="30.6">
      <c r="A2445" s="6">
        <v>43422.001701388886</v>
      </c>
      <c r="B2445" s="7" t="str">
        <f>HYPERLINK("https://twitter.com/adeoli1011","@adeoli1011")</f>
        <v>@adeoli1011</v>
      </c>
      <c r="C2445" s="8" t="s">
        <v>8293</v>
      </c>
      <c r="D2445" s="9" t="s">
        <v>8294</v>
      </c>
      <c r="E2445" s="10" t="str">
        <f>HYPERLINK("https://twitter.com/adeoli1011/status/1064066288509702144","1064066288509702144")</f>
        <v>1064066288509702144</v>
      </c>
      <c r="F2445" s="11" t="s">
        <v>4961</v>
      </c>
      <c r="G2445" s="12"/>
      <c r="H2445" s="12"/>
      <c r="I2445" s="13">
        <v>0</v>
      </c>
      <c r="J2445" s="13">
        <v>1</v>
      </c>
      <c r="K2445" s="14" t="str">
        <f t="shared" si="460"/>
        <v>Twitter for Android</v>
      </c>
      <c r="L2445" s="13">
        <v>959</v>
      </c>
      <c r="M2445" s="13">
        <v>758</v>
      </c>
      <c r="N2445" s="13">
        <v>22</v>
      </c>
      <c r="O2445" s="15"/>
      <c r="P2445" s="6">
        <v>41930.21502314815</v>
      </c>
      <c r="Q2445" s="17" t="s">
        <v>8295</v>
      </c>
      <c r="R2445" s="16" t="s">
        <v>8296</v>
      </c>
      <c r="S2445" s="12"/>
      <c r="T2445" s="12"/>
      <c r="U2445" s="10" t="str">
        <f>HYPERLINK("https://pbs.twimg.com/profile_images/523446465025560576/tMpmTDOE.jpeg","View")</f>
        <v>View</v>
      </c>
    </row>
    <row r="2446" spans="1:21" ht="30.6">
      <c r="A2446" s="6">
        <v>43422.000856481478</v>
      </c>
      <c r="B2446" s="7" t="str">
        <f>HYPERLINK("https://twitter.com/jordipsalvador","@jordipsalvador")</f>
        <v>@jordipsalvador</v>
      </c>
      <c r="C2446" s="8" t="s">
        <v>2694</v>
      </c>
      <c r="D2446" s="9" t="s">
        <v>8297</v>
      </c>
      <c r="E2446" s="10" t="str">
        <f>HYPERLINK("https://twitter.com/jordipsalvador/status/1064065981981622272","1064065981981622272")</f>
        <v>1064065981981622272</v>
      </c>
      <c r="F2446" s="11" t="s">
        <v>8298</v>
      </c>
      <c r="G2446" s="12"/>
      <c r="H2446" s="12"/>
      <c r="I2446" s="13">
        <v>0</v>
      </c>
      <c r="J2446" s="13">
        <v>0</v>
      </c>
      <c r="K2446" s="14" t="str">
        <f>HYPERLINK("https://ifttt.com","IFTTT")</f>
        <v>IFTTT</v>
      </c>
      <c r="L2446" s="13">
        <v>1069</v>
      </c>
      <c r="M2446" s="13">
        <v>2238</v>
      </c>
      <c r="N2446" s="13">
        <v>79</v>
      </c>
      <c r="O2446" s="15"/>
      <c r="P2446" s="6">
        <v>40679.434872685189</v>
      </c>
      <c r="Q2446" s="17" t="s">
        <v>1325</v>
      </c>
      <c r="R2446" s="16" t="s">
        <v>2697</v>
      </c>
      <c r="S2446" s="11" t="s">
        <v>2698</v>
      </c>
      <c r="T2446" s="12"/>
      <c r="U2446" s="10" t="str">
        <f>HYPERLINK("https://pbs.twimg.com/profile_images/1041429790044180480/E8YoBssK.jpg","View")</f>
        <v>View</v>
      </c>
    </row>
    <row r="2447" spans="1:21" ht="40.799999999999997">
      <c r="A2447" s="6">
        <v>43422.000844907408</v>
      </c>
      <c r="B2447" s="7" t="str">
        <f>HYPERLINK("https://twitter.com/gomezraggio","@gomezraggio")</f>
        <v>@gomezraggio</v>
      </c>
      <c r="C2447" s="8" t="s">
        <v>8299</v>
      </c>
      <c r="D2447" s="9" t="s">
        <v>8300</v>
      </c>
      <c r="E2447" s="10" t="str">
        <f>HYPERLINK("https://twitter.com/gomezraggio/status/1064065979641196545","1064065979641196545")</f>
        <v>1064065979641196545</v>
      </c>
      <c r="F2447" s="11" t="s">
        <v>6778</v>
      </c>
      <c r="G2447" s="12"/>
      <c r="H2447" s="12"/>
      <c r="I2447" s="13">
        <v>0</v>
      </c>
      <c r="J2447" s="13">
        <v>2</v>
      </c>
      <c r="K2447" s="14" t="str">
        <f>HYPERLINK("http://twitter.com/#!/download/ipad","Twitter for iPad")</f>
        <v>Twitter for iPad</v>
      </c>
      <c r="L2447" s="13">
        <v>290</v>
      </c>
      <c r="M2447" s="13">
        <v>423</v>
      </c>
      <c r="N2447" s="13">
        <v>6</v>
      </c>
      <c r="O2447" s="15"/>
      <c r="P2447" s="6">
        <v>42129.142893518518</v>
      </c>
      <c r="Q2447" s="17" t="s">
        <v>1826</v>
      </c>
      <c r="R2447" s="16" t="s">
        <v>8301</v>
      </c>
      <c r="S2447" s="12"/>
      <c r="T2447" s="12"/>
      <c r="U2447" s="10" t="str">
        <f>HYPERLINK("https://pbs.twimg.com/profile_images/874268550617321475/46aysP1R.jpg","View")</f>
        <v>View</v>
      </c>
    </row>
    <row r="2448" spans="1:21" ht="30.6">
      <c r="A2448" s="6">
        <v>43422.000509259262</v>
      </c>
      <c r="B2448" s="7" t="str">
        <f>HYPERLINK("https://twitter.com/ElHuffPost","@ElHuffPost")</f>
        <v>@ElHuffPost</v>
      </c>
      <c r="C2448" s="8" t="s">
        <v>467</v>
      </c>
      <c r="D2448" s="9" t="s">
        <v>7473</v>
      </c>
      <c r="E2448" s="10" t="str">
        <f>HYPERLINK("https://twitter.com/ElHuffPost/status/1064065856144109573","1064065856144109573")</f>
        <v>1064065856144109573</v>
      </c>
      <c r="F2448" s="11" t="s">
        <v>4948</v>
      </c>
      <c r="G2448" s="12"/>
      <c r="H2448" s="12"/>
      <c r="I2448" s="13">
        <v>10</v>
      </c>
      <c r="J2448" s="13">
        <v>17</v>
      </c>
      <c r="K2448" s="14" t="str">
        <f>HYPERLINK("https://about.twitter.com/products/tweetdeck","TweetDeck")</f>
        <v>TweetDeck</v>
      </c>
      <c r="L2448" s="13">
        <v>430323</v>
      </c>
      <c r="M2448" s="13">
        <v>1532</v>
      </c>
      <c r="N2448" s="13">
        <v>8187</v>
      </c>
      <c r="O2448" s="19" t="s">
        <v>74</v>
      </c>
      <c r="P2448" s="6">
        <v>40784.652118055557</v>
      </c>
      <c r="Q2448" s="17" t="s">
        <v>203</v>
      </c>
      <c r="R2448" s="16" t="s">
        <v>471</v>
      </c>
      <c r="S2448" s="11" t="s">
        <v>472</v>
      </c>
      <c r="T2448" s="12"/>
      <c r="U2448" s="10" t="str">
        <f>HYPERLINK("https://pbs.twimg.com/profile_images/921140803422089217/ETOEUOAx.jpg","View")</f>
        <v>View</v>
      </c>
    </row>
    <row r="2449" spans="1:21" ht="51">
      <c r="A2449" s="6">
        <v>43422.000196759254</v>
      </c>
      <c r="B2449" s="7" t="str">
        <f>HYPERLINK("https://twitter.com/JaviTabarnia","@JaviTabarnia")</f>
        <v>@JaviTabarnia</v>
      </c>
      <c r="C2449" s="8" t="s">
        <v>8302</v>
      </c>
      <c r="D2449" s="9" t="s">
        <v>8303</v>
      </c>
      <c r="E2449" s="10" t="str">
        <f>HYPERLINK("https://twitter.com/JaviTabarnia/status/1064065745116688384","1064065745116688384")</f>
        <v>1064065745116688384</v>
      </c>
      <c r="F2449" s="12"/>
      <c r="G2449" s="11" t="s">
        <v>8304</v>
      </c>
      <c r="H2449" s="12"/>
      <c r="I2449" s="13">
        <v>0</v>
      </c>
      <c r="J2449" s="13">
        <v>0</v>
      </c>
      <c r="K2449" s="14" t="str">
        <f>HYPERLINK("http://twitter.com/download/iphone","Twitter for iPhone")</f>
        <v>Twitter for iPhone</v>
      </c>
      <c r="L2449" s="13">
        <v>1931</v>
      </c>
      <c r="M2449" s="13">
        <v>1790</v>
      </c>
      <c r="N2449" s="13">
        <v>8</v>
      </c>
      <c r="O2449" s="15"/>
      <c r="P2449" s="6">
        <v>40703.528148148151</v>
      </c>
      <c r="Q2449" s="17" t="s">
        <v>8305</v>
      </c>
      <c r="R2449" s="16" t="s">
        <v>8306</v>
      </c>
      <c r="S2449" s="12"/>
      <c r="T2449" s="12"/>
      <c r="U2449" s="10" t="str">
        <f>HYPERLINK("https://pbs.twimg.com/profile_images/957571846056144897/myIu6EtP.jpg","View")</f>
        <v>View</v>
      </c>
    </row>
    <row r="2450" spans="1:21" ht="30.6">
      <c r="A2450" s="6">
        <v>43421.999675925923</v>
      </c>
      <c r="B2450" s="7" t="str">
        <f>HYPERLINK("https://twitter.com/lluisbrunet","@lluisbrunet")</f>
        <v>@lluisbrunet</v>
      </c>
      <c r="C2450" s="8" t="s">
        <v>8307</v>
      </c>
      <c r="D2450" s="9" t="s">
        <v>8308</v>
      </c>
      <c r="E2450" s="10" t="str">
        <f>HYPERLINK("https://twitter.com/lluisbrunet/status/1064065554250637313","1064065554250637313")</f>
        <v>1064065554250637313</v>
      </c>
      <c r="F2450" s="11" t="s">
        <v>8309</v>
      </c>
      <c r="G2450" s="12"/>
      <c r="H2450" s="12"/>
      <c r="I2450" s="13">
        <v>0</v>
      </c>
      <c r="J2450" s="13">
        <v>1</v>
      </c>
      <c r="K2450" s="14" t="str">
        <f>HYPERLINK("http://twitter.com/download/android","Twitter for Android")</f>
        <v>Twitter for Android</v>
      </c>
      <c r="L2450" s="13">
        <v>1846</v>
      </c>
      <c r="M2450" s="13">
        <v>1009</v>
      </c>
      <c r="N2450" s="13">
        <v>31</v>
      </c>
      <c r="O2450" s="15"/>
      <c r="P2450" s="6">
        <v>40592.259583333333</v>
      </c>
      <c r="Q2450" s="17" t="s">
        <v>8310</v>
      </c>
      <c r="R2450" s="16" t="s">
        <v>8311</v>
      </c>
      <c r="S2450" s="11" t="s">
        <v>8312</v>
      </c>
      <c r="T2450" s="12"/>
      <c r="U2450" s="10" t="str">
        <f>HYPERLINK("https://pbs.twimg.com/profile_images/685996930208534528/vKvTGQ6h.jpg","View")</f>
        <v>View</v>
      </c>
    </row>
    <row r="2451" spans="1:21" ht="20.399999999999999">
      <c r="A2451" s="6">
        <v>43421.995671296296</v>
      </c>
      <c r="B2451" s="7" t="str">
        <f>HYPERLINK("https://twitter.com/FrayJosepho","@FrayJosepho")</f>
        <v>@FrayJosepho</v>
      </c>
      <c r="C2451" s="8" t="s">
        <v>4660</v>
      </c>
      <c r="D2451" s="9" t="s">
        <v>6992</v>
      </c>
      <c r="E2451" s="10" t="str">
        <f>HYPERLINK("https://twitter.com/FrayJosepho/status/1064064105361870848","1064064105361870848")</f>
        <v>1064064105361870848</v>
      </c>
      <c r="F2451" s="11" t="s">
        <v>6778</v>
      </c>
      <c r="G2451" s="12"/>
      <c r="H2451" s="12"/>
      <c r="I2451" s="13">
        <v>158</v>
      </c>
      <c r="J2451" s="13">
        <v>155</v>
      </c>
      <c r="K2451" s="14" t="str">
        <f>HYPERLINK("http://twitter.com","Twitter Web Client")</f>
        <v>Twitter Web Client</v>
      </c>
      <c r="L2451" s="13">
        <v>61397</v>
      </c>
      <c r="M2451" s="13">
        <v>514</v>
      </c>
      <c r="N2451" s="13">
        <v>650</v>
      </c>
      <c r="O2451" s="19" t="s">
        <v>74</v>
      </c>
      <c r="P2451" s="6">
        <v>40262.697523148148</v>
      </c>
      <c r="Q2451" s="17" t="s">
        <v>29</v>
      </c>
      <c r="R2451" s="16" t="s">
        <v>4661</v>
      </c>
      <c r="S2451" s="11" t="s">
        <v>4662</v>
      </c>
      <c r="T2451" s="12"/>
      <c r="U2451" s="10" t="str">
        <f>HYPERLINK("https://pbs.twimg.com/profile_images/849684697261236224/hBxcfTCk.jpg","View")</f>
        <v>View</v>
      </c>
    </row>
    <row r="2452" spans="1:21" ht="20.399999999999999">
      <c r="A2452" s="6">
        <v>43421.994409722218</v>
      </c>
      <c r="B2452" s="7" t="str">
        <f>HYPERLINK("https://twitter.com/ruthglv_escola","@ruthglv_escola")</f>
        <v>@ruthglv_escola</v>
      </c>
      <c r="C2452" s="8" t="s">
        <v>8313</v>
      </c>
      <c r="D2452" s="9" t="s">
        <v>8314</v>
      </c>
      <c r="E2452" s="10" t="str">
        <f>HYPERLINK("https://twitter.com/ruthglv_escola/status/1064063649113927681","1064063649113927681")</f>
        <v>1064063649113927681</v>
      </c>
      <c r="F2452" s="11" t="s">
        <v>4961</v>
      </c>
      <c r="G2452" s="12"/>
      <c r="H2452" s="12"/>
      <c r="I2452" s="13">
        <v>0</v>
      </c>
      <c r="J2452" s="13">
        <v>5</v>
      </c>
      <c r="K2452" s="14" t="str">
        <f>HYPERLINK("http://twitter.com/download/android","Twitter for Android")</f>
        <v>Twitter for Android</v>
      </c>
      <c r="L2452" s="13">
        <v>150</v>
      </c>
      <c r="M2452" s="13">
        <v>190</v>
      </c>
      <c r="N2452" s="13">
        <v>0</v>
      </c>
      <c r="O2452" s="15"/>
      <c r="P2452" s="6">
        <v>42353.063900462963</v>
      </c>
      <c r="Q2452" s="12"/>
      <c r="R2452" s="18"/>
      <c r="S2452" s="12"/>
      <c r="T2452" s="12"/>
      <c r="U2452" s="10" t="str">
        <f>HYPERLINK("https://pbs.twimg.com/profile_images/958778903312699392/CLH4MIZG.jpg","View")</f>
        <v>View</v>
      </c>
    </row>
    <row r="2453" spans="1:21" ht="20.399999999999999">
      <c r="A2453" s="6">
        <v>43421.992662037039</v>
      </c>
      <c r="B2453" s="7" t="str">
        <f>HYPERLINK("https://twitter.com/mathusal9","@mathusal9")</f>
        <v>@mathusal9</v>
      </c>
      <c r="C2453" s="8" t="s">
        <v>3852</v>
      </c>
      <c r="D2453" s="9" t="s">
        <v>6992</v>
      </c>
      <c r="E2453" s="10" t="str">
        <f>HYPERLINK("https://twitter.com/mathusal9/status/1064063012255006720","1064063012255006720")</f>
        <v>1064063012255006720</v>
      </c>
      <c r="F2453" s="11" t="s">
        <v>6778</v>
      </c>
      <c r="G2453" s="12"/>
      <c r="H2453" s="12"/>
      <c r="I2453" s="13">
        <v>0</v>
      </c>
      <c r="J2453" s="13">
        <v>0</v>
      </c>
      <c r="K2453" s="14" t="str">
        <f>HYPERLINK("http://twitter.com","Twitter Web Client")</f>
        <v>Twitter Web Client</v>
      </c>
      <c r="L2453" s="13">
        <v>692</v>
      </c>
      <c r="M2453" s="13">
        <v>1747</v>
      </c>
      <c r="N2453" s="13">
        <v>3</v>
      </c>
      <c r="O2453" s="15"/>
      <c r="P2453" s="6">
        <v>43049.423819444448</v>
      </c>
      <c r="Q2453" s="17" t="s">
        <v>160</v>
      </c>
      <c r="R2453" s="16" t="s">
        <v>3853</v>
      </c>
      <c r="S2453" s="12"/>
      <c r="T2453" s="12"/>
      <c r="U2453" s="10" t="str">
        <f>HYPERLINK("https://pbs.twimg.com/profile_images/936494587761385472/4QRLIAtv.jpg","View")</f>
        <v>View</v>
      </c>
    </row>
    <row r="2454" spans="1:21" ht="40.799999999999997">
      <c r="A2454" s="6">
        <v>43421.991516203707</v>
      </c>
      <c r="B2454" s="7" t="str">
        <f t="shared" ref="B2454:B2455" si="461">HYPERLINK("https://twitter.com/guigortazar","@guigortazar")</f>
        <v>@guigortazar</v>
      </c>
      <c r="C2454" s="8" t="s">
        <v>8315</v>
      </c>
      <c r="D2454" s="9" t="s">
        <v>8316</v>
      </c>
      <c r="E2454" s="10" t="str">
        <f>HYPERLINK("https://twitter.com/guigortazar/status/1064062599296425985","1064062599296425985")</f>
        <v>1064062599296425985</v>
      </c>
      <c r="F2454" s="11" t="s">
        <v>6954</v>
      </c>
      <c r="G2454" s="12"/>
      <c r="H2454" s="12"/>
      <c r="I2454" s="13">
        <v>0</v>
      </c>
      <c r="J2454" s="13">
        <v>0</v>
      </c>
      <c r="K2454" s="14" t="str">
        <f>HYPERLINK("http://www.facebook.com/twitter","Facebook")</f>
        <v>Facebook</v>
      </c>
      <c r="L2454" s="13">
        <v>979</v>
      </c>
      <c r="M2454" s="13">
        <v>1097</v>
      </c>
      <c r="N2454" s="13">
        <v>21</v>
      </c>
      <c r="O2454" s="15"/>
      <c r="P2454" s="6">
        <v>42389.098900462966</v>
      </c>
      <c r="Q2454" s="17" t="s">
        <v>8317</v>
      </c>
      <c r="R2454" s="16" t="s">
        <v>8318</v>
      </c>
      <c r="S2454" s="11" t="s">
        <v>8319</v>
      </c>
      <c r="T2454" s="12"/>
      <c r="U2454" s="10" t="str">
        <f t="shared" ref="U2454:U2455" si="462">HYPERLINK("https://pbs.twimg.com/profile_images/689757323011694592/5QrUmaMA.jpg","View")</f>
        <v>View</v>
      </c>
    </row>
    <row r="2455" spans="1:21" ht="40.799999999999997">
      <c r="A2455" s="6">
        <v>43421.991203703699</v>
      </c>
      <c r="B2455" s="7" t="str">
        <f t="shared" si="461"/>
        <v>@guigortazar</v>
      </c>
      <c r="C2455" s="8" t="s">
        <v>8315</v>
      </c>
      <c r="D2455" s="9" t="s">
        <v>4850</v>
      </c>
      <c r="E2455" s="10" t="str">
        <f>HYPERLINK("https://twitter.com/guigortazar/status/1064062487216164866","1064062487216164866")</f>
        <v>1064062487216164866</v>
      </c>
      <c r="F2455" s="11" t="s">
        <v>4851</v>
      </c>
      <c r="G2455" s="12"/>
      <c r="H2455" s="12"/>
      <c r="I2455" s="13">
        <v>0</v>
      </c>
      <c r="J2455" s="13">
        <v>0</v>
      </c>
      <c r="K2455" s="14" t="str">
        <f>HYPERLINK("http://twitter.com","Twitter Web Client")</f>
        <v>Twitter Web Client</v>
      </c>
      <c r="L2455" s="13">
        <v>979</v>
      </c>
      <c r="M2455" s="13">
        <v>1097</v>
      </c>
      <c r="N2455" s="13">
        <v>21</v>
      </c>
      <c r="O2455" s="15"/>
      <c r="P2455" s="6">
        <v>42389.098900462966</v>
      </c>
      <c r="Q2455" s="17" t="s">
        <v>8317</v>
      </c>
      <c r="R2455" s="16" t="s">
        <v>8318</v>
      </c>
      <c r="S2455" s="11" t="s">
        <v>8319</v>
      </c>
      <c r="T2455" s="12"/>
      <c r="U2455" s="10" t="str">
        <f t="shared" si="462"/>
        <v>View</v>
      </c>
    </row>
    <row r="2456" spans="1:21" ht="30.6">
      <c r="A2456" s="6">
        <v>43421.990659722222</v>
      </c>
      <c r="B2456" s="7" t="str">
        <f>HYPERLINK("https://twitter.com/nolyrivas","@nolyrivas")</f>
        <v>@nolyrivas</v>
      </c>
      <c r="C2456" s="8" t="s">
        <v>6834</v>
      </c>
      <c r="D2456" s="9" t="s">
        <v>8320</v>
      </c>
      <c r="E2456" s="10" t="str">
        <f>HYPERLINK("https://twitter.com/nolyrivas/status/1064062289320599552","1064062289320599552")</f>
        <v>1064062289320599552</v>
      </c>
      <c r="F2456" s="11" t="s">
        <v>4961</v>
      </c>
      <c r="G2456" s="12"/>
      <c r="H2456" s="12"/>
      <c r="I2456" s="13">
        <v>1</v>
      </c>
      <c r="J2456" s="13">
        <v>0</v>
      </c>
      <c r="K2456" s="14" t="str">
        <f>HYPERLINK("http://twitter.com/download/iphone","Twitter for iPhone")</f>
        <v>Twitter for iPhone</v>
      </c>
      <c r="L2456" s="13">
        <v>1453</v>
      </c>
      <c r="M2456" s="13">
        <v>2000</v>
      </c>
      <c r="N2456" s="13">
        <v>18</v>
      </c>
      <c r="O2456" s="15"/>
      <c r="P2456" s="6">
        <v>40239.206203703703</v>
      </c>
      <c r="Q2456" s="12"/>
      <c r="R2456" s="16" t="s">
        <v>6836</v>
      </c>
      <c r="S2456" s="12"/>
      <c r="T2456" s="12"/>
      <c r="U2456" s="10" t="str">
        <f>HYPERLINK("https://pbs.twimg.com/profile_images/937230617611309056/mbPdVY0Q.jpg","View")</f>
        <v>View</v>
      </c>
    </row>
    <row r="2457" spans="1:21" ht="30.6">
      <c r="A2457" s="6">
        <v>43421.989363425921</v>
      </c>
      <c r="B2457" s="7" t="str">
        <f>HYPERLINK("https://twitter.com/Rogerdaflor","@Rogerdaflor")</f>
        <v>@Rogerdaflor</v>
      </c>
      <c r="C2457" s="8" t="s">
        <v>8321</v>
      </c>
      <c r="D2457" s="9" t="s">
        <v>8322</v>
      </c>
      <c r="E2457" s="10" t="str">
        <f>HYPERLINK("https://twitter.com/Rogerdaflor/status/1064061820095348736","1064061820095348736")</f>
        <v>1064061820095348736</v>
      </c>
      <c r="F2457" s="11" t="s">
        <v>4851</v>
      </c>
      <c r="G2457" s="12"/>
      <c r="H2457" s="12"/>
      <c r="I2457" s="13">
        <v>0</v>
      </c>
      <c r="J2457" s="13">
        <v>0</v>
      </c>
      <c r="K2457" s="14" t="str">
        <f t="shared" ref="K2457:K2458" si="463">HYPERLINK("http://twitter.com/download/android","Twitter for Android")</f>
        <v>Twitter for Android</v>
      </c>
      <c r="L2457" s="13">
        <v>236</v>
      </c>
      <c r="M2457" s="13">
        <v>1558</v>
      </c>
      <c r="N2457" s="13">
        <v>0</v>
      </c>
      <c r="O2457" s="15"/>
      <c r="P2457" s="6">
        <v>40336.240162037036</v>
      </c>
      <c r="Q2457" s="12"/>
      <c r="R2457" s="16" t="s">
        <v>8323</v>
      </c>
      <c r="S2457" s="12"/>
      <c r="T2457" s="12"/>
      <c r="U2457" s="10" t="str">
        <f>HYPERLINK("https://pbs.twimg.com/profile_images/969514380256825344/Xuv1iYyw.jpg","View")</f>
        <v>View</v>
      </c>
    </row>
    <row r="2458" spans="1:21" ht="30.6">
      <c r="A2458" s="6">
        <v>43421.988796296297</v>
      </c>
      <c r="B2458" s="7" t="str">
        <f>HYPERLINK("https://twitter.com/PepeGarciaPer","@PepeGarciaPer")</f>
        <v>@PepeGarciaPer</v>
      </c>
      <c r="C2458" s="8" t="s">
        <v>8324</v>
      </c>
      <c r="D2458" s="9" t="s">
        <v>8325</v>
      </c>
      <c r="E2458" s="10" t="str">
        <f>HYPERLINK("https://twitter.com/PepeGarciaPer/status/1064061612607320064","1064061612607320064")</f>
        <v>1064061612607320064</v>
      </c>
      <c r="F2458" s="11" t="s">
        <v>4948</v>
      </c>
      <c r="G2458" s="12"/>
      <c r="H2458" s="12"/>
      <c r="I2458" s="13">
        <v>0</v>
      </c>
      <c r="J2458" s="13">
        <v>2</v>
      </c>
      <c r="K2458" s="14" t="str">
        <f t="shared" si="463"/>
        <v>Twitter for Android</v>
      </c>
      <c r="L2458" s="13">
        <v>3111</v>
      </c>
      <c r="M2458" s="13">
        <v>2545</v>
      </c>
      <c r="N2458" s="13">
        <v>25</v>
      </c>
      <c r="O2458" s="15"/>
      <c r="P2458" s="6">
        <v>41067.542546296296</v>
      </c>
      <c r="Q2458" s="17" t="s">
        <v>8326</v>
      </c>
      <c r="R2458" s="16" t="s">
        <v>8327</v>
      </c>
      <c r="S2458" s="12"/>
      <c r="T2458" s="12"/>
      <c r="U2458" s="10" t="str">
        <f>HYPERLINK("https://pbs.twimg.com/profile_images/2779989453/f11a42a4fc687ff1349d4969e049875a.jpeg","View")</f>
        <v>View</v>
      </c>
    </row>
    <row r="2459" spans="1:21" ht="20.399999999999999">
      <c r="A2459" s="6">
        <v>43421.988518518519</v>
      </c>
      <c r="B2459" s="7" t="str">
        <f>HYPERLINK("https://twitter.com/brubeaker","@brubeaker")</f>
        <v>@brubeaker</v>
      </c>
      <c r="C2459" s="8" t="s">
        <v>8328</v>
      </c>
      <c r="D2459" s="9" t="s">
        <v>8329</v>
      </c>
      <c r="E2459" s="10" t="str">
        <f>HYPERLINK("https://twitter.com/brubeaker/status/1064061514288701440","1064061514288701440")</f>
        <v>1064061514288701440</v>
      </c>
      <c r="F2459" s="11" t="s">
        <v>8330</v>
      </c>
      <c r="G2459" s="12"/>
      <c r="H2459" s="12"/>
      <c r="I2459" s="13">
        <v>1</v>
      </c>
      <c r="J2459" s="13">
        <v>0</v>
      </c>
      <c r="K2459" s="14" t="str">
        <f t="shared" ref="K2459:K2460" si="464">HYPERLINK("http://twitter.com","Twitter Web Client")</f>
        <v>Twitter Web Client</v>
      </c>
      <c r="L2459" s="13">
        <v>39</v>
      </c>
      <c r="M2459" s="13">
        <v>163</v>
      </c>
      <c r="N2459" s="13">
        <v>2</v>
      </c>
      <c r="O2459" s="15"/>
      <c r="P2459" s="6">
        <v>41779.961550925924</v>
      </c>
      <c r="Q2459" s="12"/>
      <c r="R2459" s="16" t="s">
        <v>8331</v>
      </c>
      <c r="S2459" s="12"/>
      <c r="T2459" s="12"/>
      <c r="U2459" s="10" t="str">
        <f>HYPERLINK("https://pbs.twimg.com/profile_images/1036025081179332608/VWYH9QdS.jpg","View")</f>
        <v>View</v>
      </c>
    </row>
    <row r="2460" spans="1:21" ht="20.399999999999999">
      <c r="A2460" s="6">
        <v>43421.985000000001</v>
      </c>
      <c r="B2460" s="7" t="str">
        <f>HYPERLINK("https://twitter.com/MtnezCalleja","@MtnezCalleja")</f>
        <v>@MtnezCalleja</v>
      </c>
      <c r="C2460" s="8" t="s">
        <v>8332</v>
      </c>
      <c r="D2460" s="9" t="s">
        <v>8333</v>
      </c>
      <c r="E2460" s="10" t="str">
        <f>HYPERLINK("https://twitter.com/MtnezCalleja/status/1064060239060836352","1064060239060836352")</f>
        <v>1064060239060836352</v>
      </c>
      <c r="F2460" s="11" t="s">
        <v>5818</v>
      </c>
      <c r="G2460" s="12"/>
      <c r="H2460" s="12"/>
      <c r="I2460" s="13">
        <v>0</v>
      </c>
      <c r="J2460" s="13">
        <v>0</v>
      </c>
      <c r="K2460" s="14" t="str">
        <f t="shared" si="464"/>
        <v>Twitter Web Client</v>
      </c>
      <c r="L2460" s="13">
        <v>110</v>
      </c>
      <c r="M2460" s="13">
        <v>416</v>
      </c>
      <c r="N2460" s="13">
        <v>1</v>
      </c>
      <c r="O2460" s="15"/>
      <c r="P2460" s="6">
        <v>41381.379293981481</v>
      </c>
      <c r="Q2460" s="17" t="s">
        <v>5109</v>
      </c>
      <c r="R2460" s="16" t="s">
        <v>8334</v>
      </c>
      <c r="S2460" s="11" t="s">
        <v>8335</v>
      </c>
      <c r="T2460" s="12"/>
      <c r="U2460" s="10" t="str">
        <f>HYPERLINK("https://pbs.twimg.com/profile_images/654418582672154625/wGpooeLc.jpg","View")</f>
        <v>View</v>
      </c>
    </row>
    <row r="2461" spans="1:21" ht="30.6">
      <c r="A2461" s="6">
        <v>43421.981874999998</v>
      </c>
      <c r="B2461" s="7" t="str">
        <f>HYPERLINK("https://twitter.com/erkiziains","@erkiziains")</f>
        <v>@erkiziains</v>
      </c>
      <c r="C2461" s="8" t="s">
        <v>8336</v>
      </c>
      <c r="D2461" s="9" t="s">
        <v>8337</v>
      </c>
      <c r="E2461" s="10" t="str">
        <f>HYPERLINK("https://twitter.com/erkiziains/status/1064059106699431936","1064059106699431936")</f>
        <v>1064059106699431936</v>
      </c>
      <c r="F2461" s="11" t="s">
        <v>4948</v>
      </c>
      <c r="G2461" s="12"/>
      <c r="H2461" s="12"/>
      <c r="I2461" s="13">
        <v>0</v>
      </c>
      <c r="J2461" s="13">
        <v>0</v>
      </c>
      <c r="K2461" s="14" t="str">
        <f>HYPERLINK("http://twitter.com/download/iphone","Twitter for iPhone")</f>
        <v>Twitter for iPhone</v>
      </c>
      <c r="L2461" s="13">
        <v>70</v>
      </c>
      <c r="M2461" s="13">
        <v>421</v>
      </c>
      <c r="N2461" s="13">
        <v>1</v>
      </c>
      <c r="O2461" s="15"/>
      <c r="P2461" s="6">
        <v>40514.568935185183</v>
      </c>
      <c r="Q2461" s="17" t="s">
        <v>8338</v>
      </c>
      <c r="R2461" s="16" t="s">
        <v>8339</v>
      </c>
      <c r="S2461" s="11" t="s">
        <v>8340</v>
      </c>
      <c r="T2461" s="12"/>
      <c r="U2461" s="10" t="str">
        <f>HYPERLINK("https://pbs.twimg.com/profile_images/921717672219430912/HiL9kYmE.jpg","View")</f>
        <v>View</v>
      </c>
    </row>
    <row r="2462" spans="1:21" ht="30.6">
      <c r="A2462" s="6">
        <v>43421.980150462958</v>
      </c>
      <c r="B2462" s="7" t="str">
        <f>HYPERLINK("https://twitter.com/prensafresca","@prensafresca")</f>
        <v>@prensafresca</v>
      </c>
      <c r="C2462" s="8" t="s">
        <v>2523</v>
      </c>
      <c r="D2462" s="9" t="s">
        <v>2524</v>
      </c>
      <c r="E2462" s="10" t="str">
        <f>HYPERLINK("https://twitter.com/prensafresca/status/1064058479676194816","1064058479676194816")</f>
        <v>1064058479676194816</v>
      </c>
      <c r="F2462" s="11" t="s">
        <v>5818</v>
      </c>
      <c r="G2462" s="12"/>
      <c r="H2462" s="12"/>
      <c r="I2462" s="13">
        <v>1</v>
      </c>
      <c r="J2462" s="13">
        <v>1</v>
      </c>
      <c r="K2462" s="14" t="str">
        <f>HYPERLINK("http://notAWebYet.com","Tuitulares_v2")</f>
        <v>Tuitulares_v2</v>
      </c>
      <c r="L2462" s="13">
        <v>3928</v>
      </c>
      <c r="M2462" s="13">
        <v>2611</v>
      </c>
      <c r="N2462" s="13">
        <v>85</v>
      </c>
      <c r="O2462" s="15"/>
      <c r="P2462" s="6">
        <v>42414.31313657407</v>
      </c>
      <c r="Q2462" s="12"/>
      <c r="R2462" s="16" t="s">
        <v>2526</v>
      </c>
      <c r="S2462" s="12"/>
      <c r="T2462" s="12"/>
      <c r="U2462" s="10" t="str">
        <f>HYPERLINK("https://pbs.twimg.com/profile_images/712044672676397058/2n9qvNh2.jpg","View")</f>
        <v>View</v>
      </c>
    </row>
    <row r="2463" spans="1:21" ht="20.399999999999999">
      <c r="A2463" s="6">
        <v>43421.978414351848</v>
      </c>
      <c r="B2463" s="7" t="str">
        <f>HYPERLINK("https://twitter.com/samocar","@samocar")</f>
        <v>@samocar</v>
      </c>
      <c r="C2463" s="8" t="s">
        <v>8341</v>
      </c>
      <c r="D2463" s="9" t="s">
        <v>6992</v>
      </c>
      <c r="E2463" s="10" t="str">
        <f>HYPERLINK("https://twitter.com/samocar/status/1064057850731864064","1064057850731864064")</f>
        <v>1064057850731864064</v>
      </c>
      <c r="F2463" s="11" t="s">
        <v>6778</v>
      </c>
      <c r="G2463" s="12"/>
      <c r="H2463" s="12"/>
      <c r="I2463" s="13">
        <v>0</v>
      </c>
      <c r="J2463" s="13">
        <v>0</v>
      </c>
      <c r="K2463" s="14" t="str">
        <f>HYPERLINK("http://twitter.com","Twitter Web Client")</f>
        <v>Twitter Web Client</v>
      </c>
      <c r="L2463" s="13">
        <v>175</v>
      </c>
      <c r="M2463" s="13">
        <v>1395</v>
      </c>
      <c r="N2463" s="13">
        <v>6</v>
      </c>
      <c r="O2463" s="15"/>
      <c r="P2463" s="6">
        <v>40542.902141203704</v>
      </c>
      <c r="Q2463" s="12"/>
      <c r="R2463" s="18"/>
      <c r="S2463" s="12"/>
      <c r="T2463" s="12"/>
      <c r="U2463" s="19" t="s">
        <v>368</v>
      </c>
    </row>
    <row r="2464" spans="1:21" ht="30.6">
      <c r="A2464" s="6">
        <v>43421.973900462966</v>
      </c>
      <c r="B2464" s="7" t="str">
        <f>HYPERLINK("https://twitter.com/JManimar","@JManimar")</f>
        <v>@JManimar</v>
      </c>
      <c r="C2464" s="8" t="s">
        <v>5051</v>
      </c>
      <c r="D2464" s="9" t="s">
        <v>8342</v>
      </c>
      <c r="E2464" s="10" t="str">
        <f>HYPERLINK("https://twitter.com/JManimar/status/1064056215716667393","1064056215716667393")</f>
        <v>1064056215716667393</v>
      </c>
      <c r="F2464" s="12"/>
      <c r="G2464" s="12"/>
      <c r="H2464" s="12"/>
      <c r="I2464" s="13">
        <v>1</v>
      </c>
      <c r="J2464" s="13">
        <v>1</v>
      </c>
      <c r="K2464" s="14" t="str">
        <f>HYPERLINK("http://twitter.com/download/android","Twitter for Android")</f>
        <v>Twitter for Android</v>
      </c>
      <c r="L2464" s="13">
        <v>3452</v>
      </c>
      <c r="M2464" s="13">
        <v>689</v>
      </c>
      <c r="N2464" s="13">
        <v>23</v>
      </c>
      <c r="O2464" s="15"/>
      <c r="P2464" s="6">
        <v>42105.378634259258</v>
      </c>
      <c r="Q2464" s="17" t="s">
        <v>2992</v>
      </c>
      <c r="R2464" s="16" t="s">
        <v>5054</v>
      </c>
      <c r="S2464" s="12"/>
      <c r="T2464" s="12"/>
      <c r="U2464" s="10" t="str">
        <f>HYPERLINK("https://pbs.twimg.com/profile_images/1059194425690198016/Yv3qWLHs.jpg","View")</f>
        <v>View</v>
      </c>
    </row>
    <row r="2465" spans="1:21" ht="20.399999999999999">
      <c r="A2465" s="6">
        <v>43421.971851851849</v>
      </c>
      <c r="B2465" s="7" t="str">
        <f>HYPERLINK("https://twitter.com/vaviol","@vaviol")</f>
        <v>@vaviol</v>
      </c>
      <c r="C2465" s="8" t="s">
        <v>3236</v>
      </c>
      <c r="D2465" s="9" t="s">
        <v>8343</v>
      </c>
      <c r="E2465" s="10" t="str">
        <f>HYPERLINK("https://twitter.com/vaviol/status/1064055473136119808","1064055473136119808")</f>
        <v>1064055473136119808</v>
      </c>
      <c r="F2465" s="11" t="s">
        <v>8344</v>
      </c>
      <c r="G2465" s="12"/>
      <c r="H2465" s="12"/>
      <c r="I2465" s="13">
        <v>1</v>
      </c>
      <c r="J2465" s="13">
        <v>0</v>
      </c>
      <c r="K2465" s="14" t="str">
        <f>HYPERLINK("http://twitter.com","Twitter Web Client")</f>
        <v>Twitter Web Client</v>
      </c>
      <c r="L2465" s="13">
        <v>1915</v>
      </c>
      <c r="M2465" s="13">
        <v>1967</v>
      </c>
      <c r="N2465" s="13">
        <v>68</v>
      </c>
      <c r="O2465" s="15"/>
      <c r="P2465" s="6">
        <v>40818.33734953704</v>
      </c>
      <c r="Q2465" s="17" t="s">
        <v>3237</v>
      </c>
      <c r="R2465" s="16" t="s">
        <v>3238</v>
      </c>
      <c r="S2465" s="12"/>
      <c r="T2465" s="12"/>
      <c r="U2465" s="10" t="str">
        <f>HYPERLINK("https://pbs.twimg.com/profile_images/598498553070276608/whLWQ3SW.jpg","View")</f>
        <v>View</v>
      </c>
    </row>
    <row r="2466" spans="1:21" ht="13.2">
      <c r="A2466" s="6">
        <v>43421.964861111112</v>
      </c>
      <c r="B2466" s="7" t="str">
        <f>HYPERLINK("https://twitter.com/JordiPedragosa","@JordiPedragosa")</f>
        <v>@JordiPedragosa</v>
      </c>
      <c r="C2466" s="8" t="s">
        <v>8345</v>
      </c>
      <c r="D2466" s="9" t="s">
        <v>8346</v>
      </c>
      <c r="E2466" s="10" t="str">
        <f>HYPERLINK("https://twitter.com/JordiPedragosa/status/1064052939155795968","1064052939155795968")</f>
        <v>1064052939155795968</v>
      </c>
      <c r="F2466" s="11" t="s">
        <v>5818</v>
      </c>
      <c r="G2466" s="12"/>
      <c r="H2466" s="12"/>
      <c r="I2466" s="13">
        <v>0</v>
      </c>
      <c r="J2466" s="13">
        <v>0</v>
      </c>
      <c r="K2466" s="14" t="str">
        <f>HYPERLINK("http://www.facebook.com/twitter","Facebook")</f>
        <v>Facebook</v>
      </c>
      <c r="L2466" s="13">
        <v>366</v>
      </c>
      <c r="M2466" s="13">
        <v>332</v>
      </c>
      <c r="N2466" s="13">
        <v>25</v>
      </c>
      <c r="O2466" s="15"/>
      <c r="P2466" s="6">
        <v>40051.210787037038</v>
      </c>
      <c r="Q2466" s="17" t="s">
        <v>8347</v>
      </c>
      <c r="R2466" s="16" t="s">
        <v>8348</v>
      </c>
      <c r="S2466" s="12"/>
      <c r="T2466" s="12"/>
      <c r="U2466" s="10" t="str">
        <f>HYPERLINK("https://pbs.twimg.com/profile_images/994920393147408387/XCRTUlye.jpg","View")</f>
        <v>View</v>
      </c>
    </row>
    <row r="2467" spans="1:21" ht="20.399999999999999">
      <c r="A2467" s="6">
        <v>43421.963553240741</v>
      </c>
      <c r="B2467" s="7" t="str">
        <f>HYPERLINK("https://twitter.com/Cagunlolla2","@Cagunlolla2")</f>
        <v>@Cagunlolla2</v>
      </c>
      <c r="C2467" s="8" t="s">
        <v>8349</v>
      </c>
      <c r="D2467" s="9" t="s">
        <v>8350</v>
      </c>
      <c r="E2467" s="10" t="str">
        <f>HYPERLINK("https://twitter.com/Cagunlolla2/status/1064052466768142337","1064052466768142337")</f>
        <v>1064052466768142337</v>
      </c>
      <c r="F2467" s="11" t="s">
        <v>6099</v>
      </c>
      <c r="G2467" s="12"/>
      <c r="H2467" s="12"/>
      <c r="I2467" s="13">
        <v>0</v>
      </c>
      <c r="J2467" s="13">
        <v>0</v>
      </c>
      <c r="K2467" s="14" t="str">
        <f t="shared" ref="K2467:K2468" si="465">HYPERLINK("http://twitter.com/download/android","Twitter for Android")</f>
        <v>Twitter for Android</v>
      </c>
      <c r="L2467" s="13">
        <v>840</v>
      </c>
      <c r="M2467" s="13">
        <v>1223</v>
      </c>
      <c r="N2467" s="13">
        <v>0</v>
      </c>
      <c r="O2467" s="15"/>
      <c r="P2467" s="6">
        <v>43418.382708333331</v>
      </c>
      <c r="Q2467" s="17" t="s">
        <v>695</v>
      </c>
      <c r="R2467" s="16" t="s">
        <v>8351</v>
      </c>
      <c r="S2467" s="12"/>
      <c r="T2467" s="12"/>
      <c r="U2467" s="10" t="str">
        <f>HYPERLINK("https://pbs.twimg.com/profile_images/1062762833237155846/Dpl0osXr.jpg","View")</f>
        <v>View</v>
      </c>
    </row>
    <row r="2468" spans="1:21" ht="40.799999999999997">
      <c r="A2468" s="6">
        <v>43421.96298611111</v>
      </c>
      <c r="B2468" s="7" t="str">
        <f>HYPERLINK("https://twitter.com/CendraJosep","@CendraJosep")</f>
        <v>@CendraJosep</v>
      </c>
      <c r="C2468" s="8" t="s">
        <v>8352</v>
      </c>
      <c r="D2468" s="9" t="s">
        <v>8353</v>
      </c>
      <c r="E2468" s="10" t="str">
        <f>HYPERLINK("https://twitter.com/CendraJosep/status/1064052260496449536","1064052260496449536")</f>
        <v>1064052260496449536</v>
      </c>
      <c r="F2468" s="11" t="s">
        <v>6060</v>
      </c>
      <c r="G2468" s="12"/>
      <c r="H2468" s="12"/>
      <c r="I2468" s="13">
        <v>2</v>
      </c>
      <c r="J2468" s="13">
        <v>0</v>
      </c>
      <c r="K2468" s="14" t="str">
        <f t="shared" si="465"/>
        <v>Twitter for Android</v>
      </c>
      <c r="L2468" s="13">
        <v>5</v>
      </c>
      <c r="M2468" s="13">
        <v>7</v>
      </c>
      <c r="N2468" s="13">
        <v>0</v>
      </c>
      <c r="O2468" s="15"/>
      <c r="P2468" s="6">
        <v>42307.356296296297</v>
      </c>
      <c r="Q2468" s="12"/>
      <c r="R2468" s="18"/>
      <c r="S2468" s="12"/>
      <c r="T2468" s="12"/>
      <c r="U2468" s="19" t="s">
        <v>368</v>
      </c>
    </row>
    <row r="2469" spans="1:21" ht="20.399999999999999">
      <c r="A2469" s="6">
        <v>43421.9612962963</v>
      </c>
      <c r="B2469" s="7" t="str">
        <f>HYPERLINK("https://twitter.com/garmadrid","@garmadrid")</f>
        <v>@garmadrid</v>
      </c>
      <c r="C2469" s="8" t="s">
        <v>8354</v>
      </c>
      <c r="D2469" s="9" t="s">
        <v>6992</v>
      </c>
      <c r="E2469" s="10" t="str">
        <f>HYPERLINK("https://twitter.com/garmadrid/status/1064051647104647169","1064051647104647169")</f>
        <v>1064051647104647169</v>
      </c>
      <c r="F2469" s="11" t="s">
        <v>6778</v>
      </c>
      <c r="G2469" s="12"/>
      <c r="H2469" s="12"/>
      <c r="I2469" s="13">
        <v>0</v>
      </c>
      <c r="J2469" s="13">
        <v>0</v>
      </c>
      <c r="K2469" s="14" t="str">
        <f>HYPERLINK("http://twitter.com","Twitter Web Client")</f>
        <v>Twitter Web Client</v>
      </c>
      <c r="L2469" s="13">
        <v>47</v>
      </c>
      <c r="M2469" s="13">
        <v>337</v>
      </c>
      <c r="N2469" s="13">
        <v>0</v>
      </c>
      <c r="O2469" s="15"/>
      <c r="P2469" s="6">
        <v>42176.461226851854</v>
      </c>
      <c r="Q2469" s="12"/>
      <c r="R2469" s="18"/>
      <c r="S2469" s="12"/>
      <c r="T2469" s="12"/>
      <c r="U2469" s="19" t="s">
        <v>368</v>
      </c>
    </row>
    <row r="2470" spans="1:21" ht="20.399999999999999">
      <c r="A2470" s="6">
        <v>43421.960844907408</v>
      </c>
      <c r="B2470" s="7" t="str">
        <f>HYPERLINK("https://twitter.com/InigoSubiza","@InigoSubiza")</f>
        <v>@InigoSubiza</v>
      </c>
      <c r="C2470" s="8" t="s">
        <v>8355</v>
      </c>
      <c r="D2470" s="9" t="s">
        <v>8356</v>
      </c>
      <c r="E2470" s="10" t="str">
        <f>HYPERLINK("https://twitter.com/InigoSubiza/status/1064051482021036032","1064051482021036032")</f>
        <v>1064051482021036032</v>
      </c>
      <c r="F2470" s="12"/>
      <c r="G2470" s="11" t="s">
        <v>8357</v>
      </c>
      <c r="H2470" s="12"/>
      <c r="I2470" s="13">
        <v>0</v>
      </c>
      <c r="J2470" s="13">
        <v>2</v>
      </c>
      <c r="K2470" s="14" t="str">
        <f>HYPERLINK("http://twitter.com/download/iphone","Twitter for iPhone")</f>
        <v>Twitter for iPhone</v>
      </c>
      <c r="L2470" s="13">
        <v>807</v>
      </c>
      <c r="M2470" s="13">
        <v>1942</v>
      </c>
      <c r="N2470" s="13">
        <v>3</v>
      </c>
      <c r="O2470" s="15"/>
      <c r="P2470" s="6">
        <v>42236.62568287037</v>
      </c>
      <c r="Q2470" s="17" t="s">
        <v>8358</v>
      </c>
      <c r="R2470" s="16" t="s">
        <v>8359</v>
      </c>
      <c r="S2470" s="12"/>
      <c r="T2470" s="12"/>
      <c r="U2470" s="10" t="str">
        <f>HYPERLINK("https://pbs.twimg.com/profile_images/927165777693892611/azUcepzs.jpg","View")</f>
        <v>View</v>
      </c>
    </row>
    <row r="2471" spans="1:21" ht="81.599999999999994">
      <c r="A2471" s="6">
        <v>43421.956932870366</v>
      </c>
      <c r="B2471" s="7" t="str">
        <f>HYPERLINK("https://twitter.com/Susana_Ulukai","@Susana_Ulukai")</f>
        <v>@Susana_Ulukai</v>
      </c>
      <c r="C2471" s="8" t="s">
        <v>8360</v>
      </c>
      <c r="D2471" s="9" t="s">
        <v>8361</v>
      </c>
      <c r="E2471" s="10" t="str">
        <f>HYPERLINK("https://twitter.com/Susana_Ulukai/status/1064050066623815681","1064050066623815681")</f>
        <v>1064050066623815681</v>
      </c>
      <c r="F2471" s="17" t="s">
        <v>8362</v>
      </c>
      <c r="G2471" s="12"/>
      <c r="H2471" s="12"/>
      <c r="I2471" s="13">
        <v>0</v>
      </c>
      <c r="J2471" s="13">
        <v>1</v>
      </c>
      <c r="K2471" s="14" t="str">
        <f>HYPERLINK("http://twitter.com/download/android","Twitter for Android")</f>
        <v>Twitter for Android</v>
      </c>
      <c r="L2471" s="13">
        <v>288</v>
      </c>
      <c r="M2471" s="13">
        <v>358</v>
      </c>
      <c r="N2471" s="13">
        <v>3</v>
      </c>
      <c r="O2471" s="15"/>
      <c r="P2471" s="6">
        <v>40814.293310185181</v>
      </c>
      <c r="Q2471" s="17" t="s">
        <v>215</v>
      </c>
      <c r="R2471" s="16" t="s">
        <v>8363</v>
      </c>
      <c r="S2471" s="12"/>
      <c r="T2471" s="12"/>
      <c r="U2471" s="10" t="str">
        <f>HYPERLINK("https://pbs.twimg.com/profile_images/899521631298740225/8nGAVDED.jpg","View")</f>
        <v>View</v>
      </c>
    </row>
    <row r="2472" spans="1:21" ht="30.6">
      <c r="A2472" s="6">
        <v>43421.956041666665</v>
      </c>
      <c r="B2472" s="7" t="str">
        <f>HYPERLINK("https://twitter.com/BobMagnitud","@BobMagnitud")</f>
        <v>@BobMagnitud</v>
      </c>
      <c r="C2472" s="8" t="s">
        <v>8364</v>
      </c>
      <c r="D2472" s="9" t="s">
        <v>8365</v>
      </c>
      <c r="E2472" s="10" t="str">
        <f>HYPERLINK("https://twitter.com/BobMagnitud/status/1064049741619752960","1064049741619752960")</f>
        <v>1064049741619752960</v>
      </c>
      <c r="F2472" s="12"/>
      <c r="G2472" s="12"/>
      <c r="H2472" s="12"/>
      <c r="I2472" s="13">
        <v>0</v>
      </c>
      <c r="J2472" s="13">
        <v>0</v>
      </c>
      <c r="K2472" s="14" t="str">
        <f>HYPERLINK("http://twitter.com/download/iphone","Twitter for iPhone")</f>
        <v>Twitter for iPhone</v>
      </c>
      <c r="L2472" s="13">
        <v>37</v>
      </c>
      <c r="M2472" s="13">
        <v>97</v>
      </c>
      <c r="N2472" s="13">
        <v>2</v>
      </c>
      <c r="O2472" s="15"/>
      <c r="P2472" s="6">
        <v>43285.633738425924</v>
      </c>
      <c r="Q2472" s="17" t="s">
        <v>8366</v>
      </c>
      <c r="R2472" s="16" t="s">
        <v>8367</v>
      </c>
      <c r="S2472" s="12"/>
      <c r="T2472" s="12"/>
      <c r="U2472" s="10" t="str">
        <f>HYPERLINK("https://pbs.twimg.com/profile_images/1062837697503485957/PgGHWQKV.jpg","View")</f>
        <v>View</v>
      </c>
    </row>
    <row r="2473" spans="1:21" ht="13.2">
      <c r="A2473" s="23"/>
      <c r="B2473" s="24"/>
      <c r="C2473" s="24"/>
      <c r="D2473" s="25"/>
      <c r="E2473" s="15"/>
      <c r="F2473" s="12"/>
      <c r="G2473" s="12"/>
      <c r="H2473" s="12"/>
      <c r="I2473" s="15"/>
      <c r="J2473" s="15"/>
      <c r="K2473" s="12"/>
      <c r="L2473" s="15"/>
      <c r="M2473" s="15"/>
      <c r="N2473" s="15"/>
      <c r="O2473" s="15"/>
      <c r="P2473" s="23"/>
      <c r="Q2473" s="12"/>
      <c r="R2473" s="18"/>
      <c r="S2473" s="12"/>
      <c r="T2473" s="12"/>
      <c r="U2473" s="15"/>
    </row>
    <row r="2474" spans="1:21" ht="13.2">
      <c r="A2474" s="26"/>
      <c r="B2474" s="24"/>
      <c r="C2474" s="24"/>
      <c r="D2474" s="25"/>
      <c r="E2474" s="15"/>
      <c r="F2474" s="15"/>
      <c r="G2474" s="15"/>
      <c r="H2474" s="15"/>
      <c r="I2474" s="15"/>
      <c r="J2474" s="15"/>
      <c r="K2474" s="15"/>
      <c r="L2474" s="15"/>
      <c r="M2474" s="15"/>
      <c r="N2474" s="15"/>
      <c r="O2474" s="15"/>
      <c r="P2474" s="15"/>
      <c r="Q2474" s="12"/>
      <c r="R2474" s="18"/>
      <c r="S2474" s="15"/>
      <c r="T2474" s="15"/>
      <c r="U2474" s="15"/>
    </row>
    <row r="2475" spans="1:21" ht="13.2">
      <c r="A2475" s="26"/>
      <c r="B2475" s="24"/>
      <c r="C2475" s="24"/>
      <c r="D2475" s="25"/>
      <c r="E2475" s="15"/>
      <c r="F2475" s="15"/>
      <c r="G2475" s="15"/>
      <c r="H2475" s="15"/>
      <c r="I2475" s="15"/>
      <c r="J2475" s="15"/>
      <c r="K2475" s="15"/>
      <c r="L2475" s="15"/>
      <c r="M2475" s="15"/>
      <c r="N2475" s="15"/>
      <c r="O2475" s="15"/>
      <c r="P2475" s="15"/>
      <c r="Q2475" s="12"/>
      <c r="R2475" s="18"/>
      <c r="S2475" s="15"/>
      <c r="T2475" s="15"/>
      <c r="U2475" s="15"/>
    </row>
    <row r="2476" spans="1:21" ht="13.2">
      <c r="A2476" s="26"/>
      <c r="B2476" s="24"/>
      <c r="C2476" s="24"/>
      <c r="D2476" s="25"/>
      <c r="E2476" s="15"/>
      <c r="F2476" s="15"/>
      <c r="G2476" s="15"/>
      <c r="H2476" s="15"/>
      <c r="I2476" s="15"/>
      <c r="J2476" s="15"/>
      <c r="K2476" s="15"/>
      <c r="L2476" s="15"/>
      <c r="M2476" s="15"/>
      <c r="N2476" s="15"/>
      <c r="O2476" s="15"/>
      <c r="P2476" s="15"/>
      <c r="Q2476" s="12"/>
      <c r="R2476" s="18"/>
      <c r="S2476" s="15"/>
      <c r="T2476" s="15"/>
      <c r="U2476" s="15"/>
    </row>
    <row r="2477" spans="1:21" ht="13.2">
      <c r="A2477" s="26"/>
      <c r="B2477" s="24"/>
      <c r="C2477" s="24"/>
      <c r="D2477" s="25"/>
      <c r="E2477" s="15"/>
      <c r="F2477" s="15"/>
      <c r="G2477" s="15"/>
      <c r="H2477" s="15"/>
      <c r="I2477" s="15"/>
      <c r="J2477" s="15"/>
      <c r="K2477" s="15"/>
      <c r="L2477" s="15"/>
      <c r="M2477" s="15"/>
      <c r="N2477" s="15"/>
      <c r="O2477" s="15"/>
      <c r="P2477" s="15"/>
      <c r="Q2477" s="12"/>
      <c r="R2477" s="18"/>
      <c r="S2477" s="15"/>
      <c r="T2477" s="15"/>
      <c r="U2477" s="15"/>
    </row>
    <row r="2478" spans="1:21" ht="13.2">
      <c r="A2478" s="26"/>
      <c r="B2478" s="24"/>
      <c r="C2478" s="24"/>
      <c r="D2478" s="25"/>
      <c r="E2478" s="15"/>
      <c r="F2478" s="15"/>
      <c r="G2478" s="15"/>
      <c r="H2478" s="15"/>
      <c r="I2478" s="15"/>
      <c r="J2478" s="15"/>
      <c r="K2478" s="15"/>
      <c r="L2478" s="15"/>
      <c r="M2478" s="15"/>
      <c r="N2478" s="15"/>
      <c r="O2478" s="15"/>
      <c r="P2478" s="15"/>
      <c r="Q2478" s="12"/>
      <c r="R2478" s="18"/>
      <c r="S2478" s="15"/>
      <c r="T2478" s="15"/>
      <c r="U2478" s="15"/>
    </row>
    <row r="2479" spans="1:21" ht="13.2">
      <c r="A2479" s="26"/>
      <c r="B2479" s="24"/>
      <c r="C2479" s="24"/>
      <c r="D2479" s="25"/>
      <c r="E2479" s="15"/>
      <c r="F2479" s="15"/>
      <c r="G2479" s="15"/>
      <c r="H2479" s="15"/>
      <c r="I2479" s="15"/>
      <c r="J2479" s="15"/>
      <c r="K2479" s="15"/>
      <c r="L2479" s="15"/>
      <c r="M2479" s="15"/>
      <c r="N2479" s="15"/>
      <c r="O2479" s="15"/>
      <c r="P2479" s="15"/>
      <c r="Q2479" s="12"/>
      <c r="R2479" s="18"/>
      <c r="S2479" s="15"/>
      <c r="T2479" s="15"/>
      <c r="U2479" s="15"/>
    </row>
    <row r="2480" spans="1:21" ht="13.2">
      <c r="A2480" s="19"/>
      <c r="B2480" s="24"/>
      <c r="C2480" s="24"/>
      <c r="D2480" s="25"/>
      <c r="E2480" s="15"/>
      <c r="F2480" s="15"/>
      <c r="G2480" s="15"/>
      <c r="H2480" s="15"/>
      <c r="I2480" s="15"/>
      <c r="J2480" s="15"/>
      <c r="K2480" s="15"/>
      <c r="L2480" s="15"/>
      <c r="M2480" s="15"/>
      <c r="N2480" s="15"/>
      <c r="O2480" s="15"/>
      <c r="P2480" s="15"/>
      <c r="Q2480" s="12"/>
      <c r="R2480" s="18"/>
      <c r="S2480" s="15"/>
      <c r="T2480" s="15"/>
      <c r="U2480" s="15"/>
    </row>
    <row r="2481" spans="1:21" ht="13.2">
      <c r="A2481" s="26"/>
      <c r="B2481" s="24"/>
      <c r="C2481" s="24"/>
      <c r="D2481" s="25"/>
      <c r="E2481" s="15"/>
      <c r="F2481" s="15"/>
      <c r="G2481" s="15"/>
      <c r="H2481" s="15"/>
      <c r="I2481" s="15"/>
      <c r="J2481" s="15"/>
      <c r="K2481" s="15"/>
      <c r="L2481" s="15"/>
      <c r="M2481" s="15"/>
      <c r="N2481" s="15"/>
      <c r="O2481" s="15"/>
      <c r="P2481" s="15"/>
      <c r="Q2481" s="12"/>
      <c r="R2481" s="18"/>
      <c r="S2481" s="15"/>
      <c r="T2481" s="15"/>
      <c r="U2481" s="15"/>
    </row>
    <row r="2482" spans="1:21" ht="13.2">
      <c r="A2482" s="26"/>
      <c r="B2482" s="24"/>
      <c r="C2482" s="24"/>
      <c r="D2482" s="25"/>
      <c r="E2482" s="15"/>
      <c r="F2482" s="15"/>
      <c r="G2482" s="15"/>
      <c r="H2482" s="15"/>
      <c r="I2482" s="15"/>
      <c r="J2482" s="15"/>
      <c r="K2482" s="15"/>
      <c r="L2482" s="15"/>
      <c r="M2482" s="15"/>
      <c r="N2482" s="15"/>
      <c r="O2482" s="15"/>
      <c r="P2482" s="15"/>
      <c r="Q2482" s="12"/>
      <c r="R2482" s="18"/>
      <c r="S2482" s="15"/>
      <c r="T2482" s="15"/>
      <c r="U2482" s="15"/>
    </row>
    <row r="2483" spans="1:21" ht="13.2">
      <c r="A2483" s="26"/>
      <c r="B2483" s="24"/>
      <c r="C2483" s="24"/>
      <c r="D2483" s="25"/>
      <c r="E2483" s="15"/>
      <c r="F2483" s="15"/>
      <c r="G2483" s="15"/>
      <c r="H2483" s="15"/>
      <c r="I2483" s="15"/>
      <c r="J2483" s="15"/>
      <c r="K2483" s="15"/>
      <c r="L2483" s="15"/>
      <c r="M2483" s="15"/>
      <c r="N2483" s="15"/>
      <c r="O2483" s="15"/>
      <c r="P2483" s="15"/>
      <c r="Q2483" s="12"/>
      <c r="R2483" s="18"/>
      <c r="S2483" s="15"/>
      <c r="T2483" s="15"/>
      <c r="U2483" s="15"/>
    </row>
    <row r="2484" spans="1:21" ht="13.2">
      <c r="A2484" s="26"/>
      <c r="B2484" s="24"/>
      <c r="C2484" s="24"/>
      <c r="D2484" s="25"/>
      <c r="E2484" s="15"/>
      <c r="F2484" s="15"/>
      <c r="G2484" s="15"/>
      <c r="H2484" s="15"/>
      <c r="I2484" s="15"/>
      <c r="J2484" s="15"/>
      <c r="K2484" s="15"/>
      <c r="L2484" s="15"/>
      <c r="M2484" s="15"/>
      <c r="N2484" s="15"/>
      <c r="O2484" s="15"/>
      <c r="P2484" s="15"/>
      <c r="Q2484" s="12"/>
      <c r="R2484" s="18"/>
      <c r="S2484" s="15"/>
      <c r="T2484" s="15"/>
      <c r="U2484" s="15"/>
    </row>
    <row r="2485" spans="1:21" ht="13.2">
      <c r="A2485" s="26"/>
      <c r="B2485" s="24"/>
      <c r="C2485" s="24"/>
      <c r="D2485" s="25"/>
      <c r="E2485" s="15"/>
      <c r="F2485" s="15"/>
      <c r="G2485" s="15"/>
      <c r="H2485" s="15"/>
      <c r="I2485" s="15"/>
      <c r="J2485" s="15"/>
      <c r="K2485" s="15"/>
      <c r="L2485" s="15"/>
      <c r="M2485" s="15"/>
      <c r="N2485" s="15"/>
      <c r="O2485" s="15"/>
      <c r="P2485" s="15"/>
      <c r="Q2485" s="12"/>
      <c r="R2485" s="18"/>
      <c r="S2485" s="15"/>
      <c r="T2485" s="15"/>
      <c r="U2485" s="15"/>
    </row>
    <row r="2486" spans="1:21" ht="13.2">
      <c r="A2486" s="26"/>
      <c r="B2486" s="24"/>
      <c r="C2486" s="24"/>
      <c r="D2486" s="25"/>
      <c r="E2486" s="15"/>
      <c r="F2486" s="15"/>
      <c r="G2486" s="15"/>
      <c r="H2486" s="15"/>
      <c r="I2486" s="15"/>
      <c r="J2486" s="15"/>
      <c r="K2486" s="15"/>
      <c r="L2486" s="15"/>
      <c r="M2486" s="15"/>
      <c r="N2486" s="15"/>
      <c r="O2486" s="15"/>
      <c r="P2486" s="15"/>
      <c r="Q2486" s="12"/>
      <c r="R2486" s="18"/>
      <c r="S2486" s="15"/>
      <c r="T2486" s="15"/>
      <c r="U2486" s="15"/>
    </row>
    <row r="2487" spans="1:21" ht="13.2">
      <c r="A2487" s="26"/>
      <c r="B2487" s="24"/>
      <c r="C2487" s="24"/>
      <c r="D2487" s="25"/>
      <c r="E2487" s="15"/>
      <c r="F2487" s="15"/>
      <c r="G2487" s="15"/>
      <c r="H2487" s="15"/>
      <c r="I2487" s="15"/>
      <c r="J2487" s="15"/>
      <c r="K2487" s="15"/>
      <c r="L2487" s="15"/>
      <c r="M2487" s="15"/>
      <c r="N2487" s="15"/>
      <c r="O2487" s="15"/>
      <c r="P2487" s="15"/>
      <c r="Q2487" s="12"/>
      <c r="R2487" s="18"/>
      <c r="S2487" s="15"/>
      <c r="T2487" s="15"/>
      <c r="U2487" s="15"/>
    </row>
    <row r="2488" spans="1:21" ht="13.2">
      <c r="A2488" s="26"/>
      <c r="B2488" s="24"/>
      <c r="C2488" s="24"/>
      <c r="D2488" s="25"/>
      <c r="E2488" s="15"/>
      <c r="F2488" s="15"/>
      <c r="G2488" s="15"/>
      <c r="H2488" s="15"/>
      <c r="I2488" s="15"/>
      <c r="J2488" s="15"/>
      <c r="K2488" s="15"/>
      <c r="L2488" s="15"/>
      <c r="M2488" s="15"/>
      <c r="N2488" s="15"/>
      <c r="O2488" s="15"/>
      <c r="P2488" s="15"/>
      <c r="Q2488" s="12"/>
      <c r="R2488" s="18"/>
      <c r="S2488" s="15"/>
      <c r="T2488" s="15"/>
      <c r="U2488" s="15"/>
    </row>
    <row r="2489" spans="1:21" ht="13.2">
      <c r="A2489" s="26"/>
      <c r="B2489" s="24"/>
      <c r="C2489" s="24"/>
      <c r="D2489" s="25"/>
      <c r="E2489" s="15"/>
      <c r="F2489" s="15"/>
      <c r="G2489" s="15"/>
      <c r="H2489" s="15"/>
      <c r="I2489" s="15"/>
      <c r="J2489" s="15"/>
      <c r="K2489" s="15"/>
      <c r="L2489" s="15"/>
      <c r="M2489" s="15"/>
      <c r="N2489" s="15"/>
      <c r="O2489" s="15"/>
      <c r="P2489" s="15"/>
      <c r="Q2489" s="12"/>
      <c r="R2489" s="18"/>
      <c r="S2489" s="15"/>
      <c r="T2489" s="15"/>
      <c r="U2489" s="15"/>
    </row>
    <row r="2490" spans="1:21" ht="13.2">
      <c r="A2490" s="26"/>
      <c r="B2490" s="24"/>
      <c r="C2490" s="24"/>
      <c r="D2490" s="25"/>
      <c r="E2490" s="15"/>
      <c r="F2490" s="15"/>
      <c r="G2490" s="15"/>
      <c r="H2490" s="15"/>
      <c r="I2490" s="15"/>
      <c r="J2490" s="15"/>
      <c r="K2490" s="15"/>
      <c r="L2490" s="15"/>
      <c r="M2490" s="15"/>
      <c r="N2490" s="15"/>
      <c r="O2490" s="15"/>
      <c r="P2490" s="15"/>
      <c r="Q2490" s="12"/>
      <c r="R2490" s="18"/>
      <c r="S2490" s="15"/>
      <c r="T2490" s="15"/>
      <c r="U2490" s="15"/>
    </row>
    <row r="2491" spans="1:21" ht="13.2">
      <c r="A2491" s="26"/>
      <c r="B2491" s="24"/>
      <c r="C2491" s="24"/>
      <c r="D2491" s="25"/>
      <c r="E2491" s="15"/>
      <c r="F2491" s="15"/>
      <c r="G2491" s="15"/>
      <c r="H2491" s="15"/>
      <c r="I2491" s="15"/>
      <c r="J2491" s="15"/>
      <c r="K2491" s="15"/>
      <c r="L2491" s="15"/>
      <c r="M2491" s="15"/>
      <c r="N2491" s="15"/>
      <c r="O2491" s="15"/>
      <c r="P2491" s="15"/>
      <c r="Q2491" s="12"/>
      <c r="R2491" s="18"/>
      <c r="S2491" s="15"/>
      <c r="T2491" s="15"/>
      <c r="U2491" s="15"/>
    </row>
    <row r="2492" spans="1:21" ht="13.2">
      <c r="A2492" s="26"/>
      <c r="B2492" s="24"/>
      <c r="C2492" s="24"/>
      <c r="D2492" s="25"/>
      <c r="E2492" s="15"/>
      <c r="F2492" s="15"/>
      <c r="G2492" s="15"/>
      <c r="H2492" s="15"/>
      <c r="I2492" s="15"/>
      <c r="J2492" s="15"/>
      <c r="K2492" s="15"/>
      <c r="L2492" s="15"/>
      <c r="M2492" s="15"/>
      <c r="N2492" s="15"/>
      <c r="O2492" s="15"/>
      <c r="P2492" s="15"/>
      <c r="Q2492" s="12"/>
      <c r="R2492" s="18"/>
      <c r="S2492" s="15"/>
      <c r="T2492" s="15"/>
      <c r="U2492" s="15"/>
    </row>
    <row r="2493" spans="1:21" ht="13.2">
      <c r="A2493" s="26"/>
      <c r="B2493" s="24"/>
      <c r="C2493" s="24"/>
      <c r="D2493" s="25"/>
      <c r="E2493" s="15"/>
      <c r="F2493" s="15"/>
      <c r="G2493" s="15"/>
      <c r="H2493" s="15"/>
      <c r="I2493" s="15"/>
      <c r="J2493" s="15"/>
      <c r="K2493" s="15"/>
      <c r="L2493" s="15"/>
      <c r="M2493" s="15"/>
      <c r="N2493" s="15"/>
      <c r="O2493" s="15"/>
      <c r="P2493" s="15"/>
      <c r="Q2493" s="12"/>
      <c r="R2493" s="18"/>
      <c r="S2493" s="15"/>
      <c r="T2493" s="15"/>
      <c r="U2493" s="15"/>
    </row>
    <row r="2494" spans="1:21" ht="13.2">
      <c r="A2494" s="26"/>
      <c r="B2494" s="24"/>
      <c r="C2494" s="24"/>
      <c r="D2494" s="25"/>
      <c r="E2494" s="15"/>
      <c r="F2494" s="15"/>
      <c r="G2494" s="15"/>
      <c r="H2494" s="15"/>
      <c r="I2494" s="15"/>
      <c r="J2494" s="15"/>
      <c r="K2494" s="15"/>
      <c r="L2494" s="15"/>
      <c r="M2494" s="15"/>
      <c r="N2494" s="15"/>
      <c r="O2494" s="15"/>
      <c r="P2494" s="15"/>
      <c r="Q2494" s="12"/>
      <c r="R2494" s="18"/>
      <c r="S2494" s="15"/>
      <c r="T2494" s="15"/>
      <c r="U2494" s="15"/>
    </row>
    <row r="2495" spans="1:21" ht="13.2">
      <c r="A2495" s="26"/>
      <c r="B2495" s="24"/>
      <c r="C2495" s="24"/>
      <c r="D2495" s="25"/>
      <c r="E2495" s="15"/>
      <c r="F2495" s="15"/>
      <c r="G2495" s="15"/>
      <c r="H2495" s="15"/>
      <c r="I2495" s="15"/>
      <c r="J2495" s="15"/>
      <c r="K2495" s="15"/>
      <c r="L2495" s="15"/>
      <c r="M2495" s="15"/>
      <c r="N2495" s="15"/>
      <c r="O2495" s="15"/>
      <c r="P2495" s="15"/>
      <c r="Q2495" s="12"/>
      <c r="R2495" s="18"/>
      <c r="S2495" s="15"/>
      <c r="T2495" s="15"/>
      <c r="U2495" s="15"/>
    </row>
  </sheetData>
  <mergeCells count="2">
    <mergeCell ref="A1:K1"/>
    <mergeCell ref="L1:U1"/>
  </mergeCells>
  <hyperlinks>
    <hyperlink ref="F3" r:id="rId1" xr:uid="{00000000-0004-0000-0200-000000000000}"/>
    <hyperlink ref="G3" r:id="rId2" xr:uid="{00000000-0004-0000-0200-000001000000}"/>
    <hyperlink ref="F4" r:id="rId3" location=".W_gS2UwbnJw.twitter" xr:uid="{00000000-0004-0000-0200-000002000000}"/>
    <hyperlink ref="F5" r:id="rId4" xr:uid="{00000000-0004-0000-0200-000003000000}"/>
    <hyperlink ref="F6" r:id="rId5" xr:uid="{00000000-0004-0000-0200-000004000000}"/>
    <hyperlink ref="F7" r:id="rId6" xr:uid="{00000000-0004-0000-0200-000005000000}"/>
    <hyperlink ref="G7" r:id="rId7" xr:uid="{00000000-0004-0000-0200-000006000000}"/>
    <hyperlink ref="F8" r:id="rId8" xr:uid="{00000000-0004-0000-0200-000007000000}"/>
    <hyperlink ref="F9" r:id="rId9" location=".W_gQE6C1JtQ.twitter" xr:uid="{00000000-0004-0000-0200-000008000000}"/>
    <hyperlink ref="F10" r:id="rId10" location=".W_gPsQT-vvo.twitter" xr:uid="{00000000-0004-0000-0200-000009000000}"/>
    <hyperlink ref="F11" r:id="rId11" xr:uid="{00000000-0004-0000-0200-00000A000000}"/>
    <hyperlink ref="G11" r:id="rId12" xr:uid="{00000000-0004-0000-0200-00000B000000}"/>
    <hyperlink ref="S11" r:id="rId13" xr:uid="{00000000-0004-0000-0200-00000C000000}"/>
    <hyperlink ref="F13" r:id="rId14" xr:uid="{00000000-0004-0000-0200-00000D000000}"/>
    <hyperlink ref="S13" r:id="rId15" xr:uid="{00000000-0004-0000-0200-00000E000000}"/>
    <hyperlink ref="F14" r:id="rId16" xr:uid="{00000000-0004-0000-0200-00000F000000}"/>
    <hyperlink ref="S14" r:id="rId17" xr:uid="{00000000-0004-0000-0200-000010000000}"/>
    <hyperlink ref="F15" r:id="rId18" xr:uid="{00000000-0004-0000-0200-000011000000}"/>
    <hyperlink ref="G15" r:id="rId19" xr:uid="{00000000-0004-0000-0200-000012000000}"/>
    <hyperlink ref="F17" r:id="rId20" xr:uid="{00000000-0004-0000-0200-000013000000}"/>
    <hyperlink ref="S17" r:id="rId21" xr:uid="{00000000-0004-0000-0200-000014000000}"/>
    <hyperlink ref="F18" r:id="rId22" xr:uid="{00000000-0004-0000-0200-000015000000}"/>
    <hyperlink ref="G19" r:id="rId23" xr:uid="{00000000-0004-0000-0200-000016000000}"/>
    <hyperlink ref="F20" r:id="rId24" xr:uid="{00000000-0004-0000-0200-000017000000}"/>
    <hyperlink ref="S20" r:id="rId25" xr:uid="{00000000-0004-0000-0200-000018000000}"/>
    <hyperlink ref="F21" r:id="rId26" xr:uid="{00000000-0004-0000-0200-000019000000}"/>
    <hyperlink ref="F22" r:id="rId27" xr:uid="{00000000-0004-0000-0200-00001A000000}"/>
    <hyperlink ref="G24" r:id="rId28" xr:uid="{00000000-0004-0000-0200-00001B000000}"/>
    <hyperlink ref="F25" r:id="rId29" location="click=https://t.co/r41wo2TRdA" xr:uid="{00000000-0004-0000-0200-00001C000000}"/>
    <hyperlink ref="F26" r:id="rId30" location=".W_BL2lxTAWk.twitter" xr:uid="{00000000-0004-0000-0200-00001D000000}"/>
    <hyperlink ref="S26" r:id="rId31" xr:uid="{00000000-0004-0000-0200-00001E000000}"/>
    <hyperlink ref="F27" r:id="rId32" xr:uid="{00000000-0004-0000-0200-00001F000000}"/>
    <hyperlink ref="F28" r:id="rId33" xr:uid="{00000000-0004-0000-0200-000020000000}"/>
    <hyperlink ref="F29" r:id="rId34" xr:uid="{00000000-0004-0000-0200-000021000000}"/>
    <hyperlink ref="G29" r:id="rId35" xr:uid="{00000000-0004-0000-0200-000022000000}"/>
    <hyperlink ref="F32" r:id="rId36" xr:uid="{00000000-0004-0000-0200-000023000000}"/>
    <hyperlink ref="S32" r:id="rId37" xr:uid="{00000000-0004-0000-0200-000024000000}"/>
    <hyperlink ref="G33" r:id="rId38" xr:uid="{00000000-0004-0000-0200-000025000000}"/>
    <hyperlink ref="S33" r:id="rId39" xr:uid="{00000000-0004-0000-0200-000026000000}"/>
    <hyperlink ref="G34" r:id="rId40" xr:uid="{00000000-0004-0000-0200-000027000000}"/>
    <hyperlink ref="S34" r:id="rId41" xr:uid="{00000000-0004-0000-0200-000028000000}"/>
    <hyperlink ref="S35" r:id="rId42" xr:uid="{00000000-0004-0000-0200-000029000000}"/>
    <hyperlink ref="F36" r:id="rId43" xr:uid="{00000000-0004-0000-0200-00002A000000}"/>
    <hyperlink ref="F37" r:id="rId44" xr:uid="{00000000-0004-0000-0200-00002B000000}"/>
    <hyperlink ref="S37" r:id="rId45" xr:uid="{00000000-0004-0000-0200-00002C000000}"/>
    <hyperlink ref="S39" r:id="rId46" xr:uid="{00000000-0004-0000-0200-00002D000000}"/>
    <hyperlink ref="S44" r:id="rId47" xr:uid="{00000000-0004-0000-0200-00002E000000}"/>
    <hyperlink ref="F45" r:id="rId48" xr:uid="{00000000-0004-0000-0200-00002F000000}"/>
    <hyperlink ref="S45" r:id="rId49" xr:uid="{00000000-0004-0000-0200-000030000000}"/>
    <hyperlink ref="F46" r:id="rId50" xr:uid="{00000000-0004-0000-0200-000031000000}"/>
    <hyperlink ref="S46" r:id="rId51" xr:uid="{00000000-0004-0000-0200-000032000000}"/>
    <hyperlink ref="F47" r:id="rId52" xr:uid="{00000000-0004-0000-0200-000033000000}"/>
    <hyperlink ref="F48" r:id="rId53" xr:uid="{00000000-0004-0000-0200-000034000000}"/>
    <hyperlink ref="F49" r:id="rId54" xr:uid="{00000000-0004-0000-0200-000035000000}"/>
    <hyperlink ref="F51" r:id="rId55" xr:uid="{00000000-0004-0000-0200-000036000000}"/>
    <hyperlink ref="S51" r:id="rId56" xr:uid="{00000000-0004-0000-0200-000037000000}"/>
    <hyperlink ref="F53" r:id="rId57" xr:uid="{00000000-0004-0000-0200-000038000000}"/>
    <hyperlink ref="S54" r:id="rId58" xr:uid="{00000000-0004-0000-0200-000039000000}"/>
    <hyperlink ref="F55" r:id="rId59" xr:uid="{00000000-0004-0000-0200-00003A000000}"/>
    <hyperlink ref="S55" r:id="rId60" xr:uid="{00000000-0004-0000-0200-00003B000000}"/>
    <hyperlink ref="F57" r:id="rId61" xr:uid="{00000000-0004-0000-0200-00003C000000}"/>
    <hyperlink ref="F58" r:id="rId62" xr:uid="{00000000-0004-0000-0200-00003D000000}"/>
    <hyperlink ref="S58" r:id="rId63" xr:uid="{00000000-0004-0000-0200-00003E000000}"/>
    <hyperlink ref="F59" r:id="rId64" xr:uid="{00000000-0004-0000-0200-00003F000000}"/>
    <hyperlink ref="S61" r:id="rId65" xr:uid="{00000000-0004-0000-0200-000040000000}"/>
    <hyperlink ref="G62" r:id="rId66" xr:uid="{00000000-0004-0000-0200-000041000000}"/>
    <hyperlink ref="S62" r:id="rId67" xr:uid="{00000000-0004-0000-0200-000042000000}"/>
    <hyperlink ref="F63" r:id="rId68" xr:uid="{00000000-0004-0000-0200-000043000000}"/>
    <hyperlink ref="F64" r:id="rId69" xr:uid="{00000000-0004-0000-0200-000044000000}"/>
    <hyperlink ref="F65" r:id="rId70" xr:uid="{00000000-0004-0000-0200-000045000000}"/>
    <hyperlink ref="F66" r:id="rId71" xr:uid="{00000000-0004-0000-0200-000046000000}"/>
    <hyperlink ref="S66" r:id="rId72" xr:uid="{00000000-0004-0000-0200-000047000000}"/>
    <hyperlink ref="F67" r:id="rId73" xr:uid="{00000000-0004-0000-0200-000048000000}"/>
    <hyperlink ref="F68" r:id="rId74" xr:uid="{00000000-0004-0000-0200-000049000000}"/>
    <hyperlink ref="F69" r:id="rId75" xr:uid="{00000000-0004-0000-0200-00004A000000}"/>
    <hyperlink ref="S69" r:id="rId76" xr:uid="{00000000-0004-0000-0200-00004B000000}"/>
    <hyperlink ref="F70" r:id="rId77" xr:uid="{00000000-0004-0000-0200-00004C000000}"/>
    <hyperlink ref="S70" r:id="rId78" xr:uid="{00000000-0004-0000-0200-00004D000000}"/>
    <hyperlink ref="G71" r:id="rId79" xr:uid="{00000000-0004-0000-0200-00004E000000}"/>
    <hyperlink ref="S71" r:id="rId80" xr:uid="{00000000-0004-0000-0200-00004F000000}"/>
    <hyperlink ref="F72" r:id="rId81" xr:uid="{00000000-0004-0000-0200-000050000000}"/>
    <hyperlink ref="S72" r:id="rId82" xr:uid="{00000000-0004-0000-0200-000051000000}"/>
    <hyperlink ref="F73" r:id="rId83" xr:uid="{00000000-0004-0000-0200-000052000000}"/>
    <hyperlink ref="F74" r:id="rId84" xr:uid="{00000000-0004-0000-0200-000053000000}"/>
    <hyperlink ref="S74" r:id="rId85" xr:uid="{00000000-0004-0000-0200-000054000000}"/>
    <hyperlink ref="F75" r:id="rId86" xr:uid="{00000000-0004-0000-0200-000055000000}"/>
    <hyperlink ref="F77" r:id="rId87" xr:uid="{00000000-0004-0000-0200-000056000000}"/>
    <hyperlink ref="F78" r:id="rId88" xr:uid="{00000000-0004-0000-0200-000057000000}"/>
    <hyperlink ref="S78" r:id="rId89" xr:uid="{00000000-0004-0000-0200-000058000000}"/>
    <hyperlink ref="F79" r:id="rId90" xr:uid="{00000000-0004-0000-0200-000059000000}"/>
    <hyperlink ref="S79" r:id="rId91" xr:uid="{00000000-0004-0000-0200-00005A000000}"/>
    <hyperlink ref="F80" r:id="rId92" location=".W_fsfiA1xMo.twitter" xr:uid="{00000000-0004-0000-0200-00005B000000}"/>
    <hyperlink ref="S80" r:id="rId93" xr:uid="{00000000-0004-0000-0200-00005C000000}"/>
    <hyperlink ref="F81" r:id="rId94" xr:uid="{00000000-0004-0000-0200-00005D000000}"/>
    <hyperlink ref="F82" r:id="rId95" xr:uid="{00000000-0004-0000-0200-00005E000000}"/>
    <hyperlink ref="S82" r:id="rId96" xr:uid="{00000000-0004-0000-0200-00005F000000}"/>
    <hyperlink ref="G83" r:id="rId97" xr:uid="{00000000-0004-0000-0200-000060000000}"/>
    <hyperlink ref="F84" r:id="rId98" xr:uid="{00000000-0004-0000-0200-000061000000}"/>
    <hyperlink ref="F85" r:id="rId99" xr:uid="{00000000-0004-0000-0200-000062000000}"/>
    <hyperlink ref="S86" r:id="rId100" xr:uid="{00000000-0004-0000-0200-000063000000}"/>
    <hyperlink ref="F87" r:id="rId101" xr:uid="{00000000-0004-0000-0200-000064000000}"/>
    <hyperlink ref="S87" r:id="rId102" xr:uid="{00000000-0004-0000-0200-000065000000}"/>
    <hyperlink ref="F88" r:id="rId103" xr:uid="{00000000-0004-0000-0200-000066000000}"/>
    <hyperlink ref="F89" r:id="rId104" xr:uid="{00000000-0004-0000-0200-000067000000}"/>
    <hyperlink ref="F91" r:id="rId105" xr:uid="{00000000-0004-0000-0200-000068000000}"/>
    <hyperlink ref="S91" r:id="rId106" xr:uid="{00000000-0004-0000-0200-000069000000}"/>
    <hyperlink ref="G92" r:id="rId107" xr:uid="{00000000-0004-0000-0200-00006A000000}"/>
    <hyperlink ref="F93" r:id="rId108" xr:uid="{00000000-0004-0000-0200-00006B000000}"/>
    <hyperlink ref="F98" r:id="rId109" xr:uid="{00000000-0004-0000-0200-00006C000000}"/>
    <hyperlink ref="F99" r:id="rId110" xr:uid="{00000000-0004-0000-0200-00006D000000}"/>
    <hyperlink ref="G99" r:id="rId111" xr:uid="{00000000-0004-0000-0200-00006E000000}"/>
    <hyperlink ref="S99" r:id="rId112" xr:uid="{00000000-0004-0000-0200-00006F000000}"/>
    <hyperlink ref="F100" r:id="rId113" xr:uid="{00000000-0004-0000-0200-000070000000}"/>
    <hyperlink ref="S100" r:id="rId114" xr:uid="{00000000-0004-0000-0200-000071000000}"/>
    <hyperlink ref="F101" r:id="rId115" xr:uid="{00000000-0004-0000-0200-000072000000}"/>
    <hyperlink ref="S101" r:id="rId116" xr:uid="{00000000-0004-0000-0200-000073000000}"/>
    <hyperlink ref="F102" r:id="rId117" xr:uid="{00000000-0004-0000-0200-000074000000}"/>
    <hyperlink ref="S102" r:id="rId118" xr:uid="{00000000-0004-0000-0200-000075000000}"/>
    <hyperlink ref="F103" r:id="rId119" xr:uid="{00000000-0004-0000-0200-000076000000}"/>
    <hyperlink ref="G104" r:id="rId120" xr:uid="{00000000-0004-0000-0200-000077000000}"/>
    <hyperlink ref="S104" r:id="rId121" xr:uid="{00000000-0004-0000-0200-000078000000}"/>
    <hyperlink ref="F105" r:id="rId122" xr:uid="{00000000-0004-0000-0200-000079000000}"/>
    <hyperlink ref="F106" r:id="rId123" xr:uid="{00000000-0004-0000-0200-00007A000000}"/>
    <hyperlink ref="F107" r:id="rId124" xr:uid="{00000000-0004-0000-0200-00007B000000}"/>
    <hyperlink ref="F108" r:id="rId125" xr:uid="{00000000-0004-0000-0200-00007C000000}"/>
    <hyperlink ref="F109" r:id="rId126" xr:uid="{00000000-0004-0000-0200-00007D000000}"/>
    <hyperlink ref="S110" r:id="rId127" xr:uid="{00000000-0004-0000-0200-00007E000000}"/>
    <hyperlink ref="F111" r:id="rId128" xr:uid="{00000000-0004-0000-0200-00007F000000}"/>
    <hyperlink ref="S111" r:id="rId129" xr:uid="{00000000-0004-0000-0200-000080000000}"/>
    <hyperlink ref="G113" r:id="rId130" xr:uid="{00000000-0004-0000-0200-000081000000}"/>
    <hyperlink ref="F114" r:id="rId131" xr:uid="{00000000-0004-0000-0200-000082000000}"/>
    <hyperlink ref="S114" r:id="rId132" location="allposts" xr:uid="{00000000-0004-0000-0200-000083000000}"/>
    <hyperlink ref="F115" r:id="rId133" xr:uid="{00000000-0004-0000-0200-000084000000}"/>
    <hyperlink ref="G116" r:id="rId134" xr:uid="{00000000-0004-0000-0200-000085000000}"/>
    <hyperlink ref="F117" r:id="rId135" xr:uid="{00000000-0004-0000-0200-000086000000}"/>
    <hyperlink ref="F118" r:id="rId136" xr:uid="{00000000-0004-0000-0200-000087000000}"/>
    <hyperlink ref="F119" r:id="rId137" xr:uid="{00000000-0004-0000-0200-000088000000}"/>
    <hyperlink ref="S119" r:id="rId138" xr:uid="{00000000-0004-0000-0200-000089000000}"/>
    <hyperlink ref="F120" r:id="rId139" xr:uid="{00000000-0004-0000-0200-00008A000000}"/>
    <hyperlink ref="S120" r:id="rId140" xr:uid="{00000000-0004-0000-0200-00008B000000}"/>
    <hyperlink ref="F121" r:id="rId141" xr:uid="{00000000-0004-0000-0200-00008C000000}"/>
    <hyperlink ref="F122" r:id="rId142" xr:uid="{00000000-0004-0000-0200-00008D000000}"/>
    <hyperlink ref="S122" r:id="rId143" xr:uid="{00000000-0004-0000-0200-00008E000000}"/>
    <hyperlink ref="F123" r:id="rId144" xr:uid="{00000000-0004-0000-0200-00008F000000}"/>
    <hyperlink ref="F124" r:id="rId145" xr:uid="{00000000-0004-0000-0200-000090000000}"/>
    <hyperlink ref="S124" r:id="rId146" xr:uid="{00000000-0004-0000-0200-000091000000}"/>
    <hyperlink ref="F125" r:id="rId147" xr:uid="{00000000-0004-0000-0200-000092000000}"/>
    <hyperlink ref="F126" r:id="rId148" xr:uid="{00000000-0004-0000-0200-000093000000}"/>
    <hyperlink ref="F129" r:id="rId149" xr:uid="{00000000-0004-0000-0200-000094000000}"/>
    <hyperlink ref="F130" r:id="rId150" xr:uid="{00000000-0004-0000-0200-000095000000}"/>
    <hyperlink ref="S130" r:id="rId151" xr:uid="{00000000-0004-0000-0200-000096000000}"/>
    <hyperlink ref="F132" r:id="rId152" xr:uid="{00000000-0004-0000-0200-000097000000}"/>
    <hyperlink ref="S132" r:id="rId153" xr:uid="{00000000-0004-0000-0200-000098000000}"/>
    <hyperlink ref="F133" r:id="rId154" xr:uid="{00000000-0004-0000-0200-000099000000}"/>
    <hyperlink ref="F134" r:id="rId155" xr:uid="{00000000-0004-0000-0200-00009A000000}"/>
    <hyperlink ref="S134" r:id="rId156" xr:uid="{00000000-0004-0000-0200-00009B000000}"/>
    <hyperlink ref="F135" r:id="rId157" xr:uid="{00000000-0004-0000-0200-00009C000000}"/>
    <hyperlink ref="S135" r:id="rId158" xr:uid="{00000000-0004-0000-0200-00009D000000}"/>
    <hyperlink ref="F136" r:id="rId159" xr:uid="{00000000-0004-0000-0200-00009E000000}"/>
    <hyperlink ref="F137" r:id="rId160" xr:uid="{00000000-0004-0000-0200-00009F000000}"/>
    <hyperlink ref="G138" r:id="rId161" xr:uid="{00000000-0004-0000-0200-0000A0000000}"/>
    <hyperlink ref="S138" r:id="rId162" xr:uid="{00000000-0004-0000-0200-0000A1000000}"/>
    <hyperlink ref="F140" r:id="rId163" xr:uid="{00000000-0004-0000-0200-0000A2000000}"/>
    <hyperlink ref="S140" r:id="rId164" xr:uid="{00000000-0004-0000-0200-0000A3000000}"/>
    <hyperlink ref="G142" r:id="rId165" xr:uid="{00000000-0004-0000-0200-0000A4000000}"/>
    <hyperlink ref="S142" r:id="rId166" xr:uid="{00000000-0004-0000-0200-0000A5000000}"/>
    <hyperlink ref="F143" r:id="rId167" xr:uid="{00000000-0004-0000-0200-0000A6000000}"/>
    <hyperlink ref="F144" r:id="rId168" xr:uid="{00000000-0004-0000-0200-0000A7000000}"/>
    <hyperlink ref="F145" r:id="rId169" xr:uid="{00000000-0004-0000-0200-0000A8000000}"/>
    <hyperlink ref="S145" r:id="rId170" xr:uid="{00000000-0004-0000-0200-0000A9000000}"/>
    <hyperlink ref="F146" r:id="rId171" xr:uid="{00000000-0004-0000-0200-0000AA000000}"/>
    <hyperlink ref="F147" r:id="rId172" xr:uid="{00000000-0004-0000-0200-0000AB000000}"/>
    <hyperlink ref="S147" r:id="rId173" xr:uid="{00000000-0004-0000-0200-0000AC000000}"/>
    <hyperlink ref="G148" r:id="rId174" xr:uid="{00000000-0004-0000-0200-0000AD000000}"/>
    <hyperlink ref="S148" r:id="rId175" xr:uid="{00000000-0004-0000-0200-0000AE000000}"/>
    <hyperlink ref="C149" r:id="rId176" xr:uid="{00000000-0004-0000-0200-0000AF000000}"/>
    <hyperlink ref="F149" r:id="rId177" xr:uid="{00000000-0004-0000-0200-0000B0000000}"/>
    <hyperlink ref="G149" r:id="rId178" xr:uid="{00000000-0004-0000-0200-0000B1000000}"/>
    <hyperlink ref="S149" r:id="rId179" xr:uid="{00000000-0004-0000-0200-0000B2000000}"/>
    <hyperlink ref="F150" r:id="rId180" xr:uid="{00000000-0004-0000-0200-0000B3000000}"/>
    <hyperlink ref="S150" r:id="rId181" xr:uid="{00000000-0004-0000-0200-0000B4000000}"/>
    <hyperlink ref="F151" r:id="rId182" xr:uid="{00000000-0004-0000-0200-0000B5000000}"/>
    <hyperlink ref="F152" r:id="rId183" xr:uid="{00000000-0004-0000-0200-0000B6000000}"/>
    <hyperlink ref="S152" r:id="rId184" xr:uid="{00000000-0004-0000-0200-0000B7000000}"/>
    <hyperlink ref="F153" r:id="rId185" xr:uid="{00000000-0004-0000-0200-0000B8000000}"/>
    <hyperlink ref="F154" r:id="rId186" xr:uid="{00000000-0004-0000-0200-0000B9000000}"/>
    <hyperlink ref="S154" r:id="rId187" xr:uid="{00000000-0004-0000-0200-0000BA000000}"/>
    <hyperlink ref="F155" r:id="rId188" xr:uid="{00000000-0004-0000-0200-0000BB000000}"/>
    <hyperlink ref="F156" r:id="rId189" xr:uid="{00000000-0004-0000-0200-0000BC000000}"/>
    <hyperlink ref="S156" r:id="rId190" xr:uid="{00000000-0004-0000-0200-0000BD000000}"/>
    <hyperlink ref="F157" r:id="rId191" xr:uid="{00000000-0004-0000-0200-0000BE000000}"/>
    <hyperlink ref="F158" r:id="rId192" xr:uid="{00000000-0004-0000-0200-0000BF000000}"/>
    <hyperlink ref="F159" r:id="rId193" xr:uid="{00000000-0004-0000-0200-0000C0000000}"/>
    <hyperlink ref="F160" r:id="rId194" xr:uid="{00000000-0004-0000-0200-0000C1000000}"/>
    <hyperlink ref="S160" r:id="rId195" xr:uid="{00000000-0004-0000-0200-0000C2000000}"/>
    <hyperlink ref="F161" r:id="rId196" xr:uid="{00000000-0004-0000-0200-0000C3000000}"/>
    <hyperlink ref="F162" r:id="rId197" xr:uid="{00000000-0004-0000-0200-0000C4000000}"/>
    <hyperlink ref="F163" r:id="rId198" xr:uid="{00000000-0004-0000-0200-0000C5000000}"/>
    <hyperlink ref="S163" r:id="rId199" xr:uid="{00000000-0004-0000-0200-0000C6000000}"/>
    <hyperlink ref="F164" r:id="rId200" xr:uid="{00000000-0004-0000-0200-0000C7000000}"/>
    <hyperlink ref="G164" r:id="rId201" xr:uid="{00000000-0004-0000-0200-0000C8000000}"/>
    <hyperlink ref="F165" r:id="rId202" xr:uid="{00000000-0004-0000-0200-0000C9000000}"/>
    <hyperlink ref="S165" r:id="rId203" xr:uid="{00000000-0004-0000-0200-0000CA000000}"/>
    <hyperlink ref="F166" r:id="rId204" xr:uid="{00000000-0004-0000-0200-0000CB000000}"/>
    <hyperlink ref="F167" r:id="rId205" xr:uid="{00000000-0004-0000-0200-0000CC000000}"/>
    <hyperlink ref="S168" r:id="rId206" xr:uid="{00000000-0004-0000-0200-0000CD000000}"/>
    <hyperlink ref="F169" r:id="rId207" xr:uid="{00000000-0004-0000-0200-0000CE000000}"/>
    <hyperlink ref="G169" r:id="rId208" xr:uid="{00000000-0004-0000-0200-0000CF000000}"/>
    <hyperlink ref="G170" r:id="rId209" xr:uid="{00000000-0004-0000-0200-0000D0000000}"/>
    <hyperlink ref="F171" r:id="rId210" xr:uid="{00000000-0004-0000-0200-0000D1000000}"/>
    <hyperlink ref="F172" r:id="rId211" xr:uid="{00000000-0004-0000-0200-0000D2000000}"/>
    <hyperlink ref="G173" r:id="rId212" xr:uid="{00000000-0004-0000-0200-0000D3000000}"/>
    <hyperlink ref="S173" r:id="rId213" xr:uid="{00000000-0004-0000-0200-0000D4000000}"/>
    <hyperlink ref="F174" r:id="rId214" xr:uid="{00000000-0004-0000-0200-0000D5000000}"/>
    <hyperlink ref="S174" r:id="rId215" xr:uid="{00000000-0004-0000-0200-0000D6000000}"/>
    <hyperlink ref="F175" r:id="rId216" xr:uid="{00000000-0004-0000-0200-0000D7000000}"/>
    <hyperlink ref="S175" r:id="rId217" xr:uid="{00000000-0004-0000-0200-0000D8000000}"/>
    <hyperlink ref="G176" r:id="rId218" xr:uid="{00000000-0004-0000-0200-0000D9000000}"/>
    <hyperlink ref="S176" r:id="rId219" xr:uid="{00000000-0004-0000-0200-0000DA000000}"/>
    <hyperlink ref="F177" r:id="rId220" xr:uid="{00000000-0004-0000-0200-0000DB000000}"/>
    <hyperlink ref="F178" r:id="rId221" xr:uid="{00000000-0004-0000-0200-0000DC000000}"/>
    <hyperlink ref="S178" r:id="rId222" xr:uid="{00000000-0004-0000-0200-0000DD000000}"/>
    <hyperlink ref="F179" r:id="rId223" xr:uid="{00000000-0004-0000-0200-0000DE000000}"/>
    <hyperlink ref="F180" r:id="rId224" xr:uid="{00000000-0004-0000-0200-0000DF000000}"/>
    <hyperlink ref="S180" r:id="rId225" xr:uid="{00000000-0004-0000-0200-0000E0000000}"/>
    <hyperlink ref="F181" r:id="rId226" xr:uid="{00000000-0004-0000-0200-0000E1000000}"/>
    <hyperlink ref="S181" r:id="rId227" xr:uid="{00000000-0004-0000-0200-0000E2000000}"/>
    <hyperlink ref="F182" r:id="rId228" xr:uid="{00000000-0004-0000-0200-0000E3000000}"/>
    <hyperlink ref="F183" r:id="rId229" xr:uid="{00000000-0004-0000-0200-0000E4000000}"/>
    <hyperlink ref="F184" r:id="rId230" xr:uid="{00000000-0004-0000-0200-0000E5000000}"/>
    <hyperlink ref="S184" r:id="rId231" xr:uid="{00000000-0004-0000-0200-0000E6000000}"/>
    <hyperlink ref="F185" r:id="rId232" xr:uid="{00000000-0004-0000-0200-0000E7000000}"/>
    <hyperlink ref="F186" r:id="rId233" xr:uid="{00000000-0004-0000-0200-0000E8000000}"/>
    <hyperlink ref="S186" r:id="rId234" xr:uid="{00000000-0004-0000-0200-0000E9000000}"/>
    <hyperlink ref="F187" r:id="rId235" xr:uid="{00000000-0004-0000-0200-0000EA000000}"/>
    <hyperlink ref="S187" r:id="rId236" xr:uid="{00000000-0004-0000-0200-0000EB000000}"/>
    <hyperlink ref="F188" r:id="rId237" xr:uid="{00000000-0004-0000-0200-0000EC000000}"/>
    <hyperlink ref="S188" r:id="rId238" xr:uid="{00000000-0004-0000-0200-0000ED000000}"/>
    <hyperlink ref="F189" r:id="rId239" xr:uid="{00000000-0004-0000-0200-0000EE000000}"/>
    <hyperlink ref="S189" r:id="rId240" xr:uid="{00000000-0004-0000-0200-0000EF000000}"/>
    <hyperlink ref="F190" r:id="rId241" xr:uid="{00000000-0004-0000-0200-0000F0000000}"/>
    <hyperlink ref="F191" r:id="rId242" xr:uid="{00000000-0004-0000-0200-0000F1000000}"/>
    <hyperlink ref="F192" r:id="rId243" xr:uid="{00000000-0004-0000-0200-0000F2000000}"/>
    <hyperlink ref="S192" r:id="rId244" xr:uid="{00000000-0004-0000-0200-0000F3000000}"/>
    <hyperlink ref="F193" r:id="rId245" location="click=https://t.co/mdIzfZZ98a" xr:uid="{00000000-0004-0000-0200-0000F4000000}"/>
    <hyperlink ref="G194" r:id="rId246" xr:uid="{00000000-0004-0000-0200-0000F5000000}"/>
    <hyperlink ref="F195" r:id="rId247" xr:uid="{00000000-0004-0000-0200-0000F6000000}"/>
    <hyperlink ref="F196" r:id="rId248" xr:uid="{00000000-0004-0000-0200-0000F7000000}"/>
    <hyperlink ref="F197" r:id="rId249" xr:uid="{00000000-0004-0000-0200-0000F8000000}"/>
    <hyperlink ref="F198" r:id="rId250" xr:uid="{00000000-0004-0000-0200-0000F9000000}"/>
    <hyperlink ref="S198" r:id="rId251" xr:uid="{00000000-0004-0000-0200-0000FA000000}"/>
    <hyperlink ref="F199" r:id="rId252" xr:uid="{00000000-0004-0000-0200-0000FB000000}"/>
    <hyperlink ref="S199" r:id="rId253" xr:uid="{00000000-0004-0000-0200-0000FC000000}"/>
    <hyperlink ref="F200" r:id="rId254" xr:uid="{00000000-0004-0000-0200-0000FD000000}"/>
    <hyperlink ref="G201" r:id="rId255" xr:uid="{00000000-0004-0000-0200-0000FE000000}"/>
    <hyperlink ref="F203" r:id="rId256" xr:uid="{00000000-0004-0000-0200-0000FF000000}"/>
    <hyperlink ref="F204" r:id="rId257" xr:uid="{00000000-0004-0000-0200-000000010000}"/>
    <hyperlink ref="S204" r:id="rId258" xr:uid="{00000000-0004-0000-0200-000001010000}"/>
    <hyperlink ref="F205" r:id="rId259" xr:uid="{00000000-0004-0000-0200-000002010000}"/>
    <hyperlink ref="F206" r:id="rId260" xr:uid="{00000000-0004-0000-0200-000003010000}"/>
    <hyperlink ref="S207" r:id="rId261" xr:uid="{00000000-0004-0000-0200-000004010000}"/>
    <hyperlink ref="F208" r:id="rId262" xr:uid="{00000000-0004-0000-0200-000005010000}"/>
    <hyperlink ref="G208" r:id="rId263" xr:uid="{00000000-0004-0000-0200-000006010000}"/>
    <hyperlink ref="F209" r:id="rId264" xr:uid="{00000000-0004-0000-0200-000007010000}"/>
    <hyperlink ref="S209" r:id="rId265" xr:uid="{00000000-0004-0000-0200-000008010000}"/>
    <hyperlink ref="F210" r:id="rId266" xr:uid="{00000000-0004-0000-0200-000009010000}"/>
    <hyperlink ref="S210" r:id="rId267" xr:uid="{00000000-0004-0000-0200-00000A010000}"/>
    <hyperlink ref="F211" r:id="rId268" xr:uid="{00000000-0004-0000-0200-00000B010000}"/>
    <hyperlink ref="F212" r:id="rId269" xr:uid="{00000000-0004-0000-0200-00000C010000}"/>
    <hyperlink ref="G212" r:id="rId270" xr:uid="{00000000-0004-0000-0200-00000D010000}"/>
    <hyperlink ref="S212" r:id="rId271" xr:uid="{00000000-0004-0000-0200-00000E010000}"/>
    <hyperlink ref="F213" r:id="rId272" xr:uid="{00000000-0004-0000-0200-00000F010000}"/>
    <hyperlink ref="F214" r:id="rId273" xr:uid="{00000000-0004-0000-0200-000010010000}"/>
    <hyperlink ref="S214" r:id="rId274" xr:uid="{00000000-0004-0000-0200-000011010000}"/>
    <hyperlink ref="F215" r:id="rId275" xr:uid="{00000000-0004-0000-0200-000012010000}"/>
    <hyperlink ref="F216" r:id="rId276" xr:uid="{00000000-0004-0000-0200-000013010000}"/>
    <hyperlink ref="S216" r:id="rId277" xr:uid="{00000000-0004-0000-0200-000014010000}"/>
    <hyperlink ref="F217" r:id="rId278" xr:uid="{00000000-0004-0000-0200-000015010000}"/>
    <hyperlink ref="F218" r:id="rId279" xr:uid="{00000000-0004-0000-0200-000016010000}"/>
    <hyperlink ref="S219" r:id="rId280" xr:uid="{00000000-0004-0000-0200-000017010000}"/>
    <hyperlink ref="G220" r:id="rId281" xr:uid="{00000000-0004-0000-0200-000018010000}"/>
    <hyperlink ref="S220" r:id="rId282" xr:uid="{00000000-0004-0000-0200-000019010000}"/>
    <hyperlink ref="F221" r:id="rId283" xr:uid="{00000000-0004-0000-0200-00001A010000}"/>
    <hyperlink ref="S221" r:id="rId284" xr:uid="{00000000-0004-0000-0200-00001B010000}"/>
    <hyperlink ref="C222" r:id="rId285" xr:uid="{00000000-0004-0000-0200-00001C010000}"/>
    <hyperlink ref="F222" r:id="rId286" xr:uid="{00000000-0004-0000-0200-00001D010000}"/>
    <hyperlink ref="G222" r:id="rId287" xr:uid="{00000000-0004-0000-0200-00001E010000}"/>
    <hyperlink ref="S222" r:id="rId288" xr:uid="{00000000-0004-0000-0200-00001F010000}"/>
    <hyperlink ref="G223" r:id="rId289" xr:uid="{00000000-0004-0000-0200-000020010000}"/>
    <hyperlink ref="F224" r:id="rId290" xr:uid="{00000000-0004-0000-0200-000021010000}"/>
    <hyperlink ref="S224" r:id="rId291" xr:uid="{00000000-0004-0000-0200-000022010000}"/>
    <hyperlink ref="F225" r:id="rId292" xr:uid="{00000000-0004-0000-0200-000023010000}"/>
    <hyperlink ref="G226" r:id="rId293" xr:uid="{00000000-0004-0000-0200-000024010000}"/>
    <hyperlink ref="F227" r:id="rId294" xr:uid="{00000000-0004-0000-0200-000025010000}"/>
    <hyperlink ref="G228" r:id="rId295" xr:uid="{00000000-0004-0000-0200-000026010000}"/>
    <hyperlink ref="F229" r:id="rId296" location="click=https://t.co/Om5K1PsjOv" xr:uid="{00000000-0004-0000-0200-000027010000}"/>
    <hyperlink ref="S229" r:id="rId297" xr:uid="{00000000-0004-0000-0200-000028010000}"/>
    <hyperlink ref="G230" r:id="rId298" xr:uid="{00000000-0004-0000-0200-000029010000}"/>
    <hyperlink ref="S230" r:id="rId299" xr:uid="{00000000-0004-0000-0200-00002A010000}"/>
    <hyperlink ref="F231" r:id="rId300" xr:uid="{00000000-0004-0000-0200-00002B010000}"/>
    <hyperlink ref="F233" r:id="rId301" xr:uid="{00000000-0004-0000-0200-00002C010000}"/>
    <hyperlink ref="F234" r:id="rId302" xr:uid="{00000000-0004-0000-0200-00002D010000}"/>
    <hyperlink ref="F235" r:id="rId303" xr:uid="{00000000-0004-0000-0200-00002E010000}"/>
    <hyperlink ref="F236" r:id="rId304" xr:uid="{00000000-0004-0000-0200-00002F010000}"/>
    <hyperlink ref="F237" r:id="rId305" xr:uid="{00000000-0004-0000-0200-000030010000}"/>
    <hyperlink ref="F238" r:id="rId306" xr:uid="{00000000-0004-0000-0200-000031010000}"/>
    <hyperlink ref="F239" r:id="rId307" xr:uid="{00000000-0004-0000-0200-000032010000}"/>
    <hyperlink ref="S239" r:id="rId308" xr:uid="{00000000-0004-0000-0200-000033010000}"/>
    <hyperlink ref="G240" r:id="rId309" xr:uid="{00000000-0004-0000-0200-000034010000}"/>
    <hyperlink ref="S240" r:id="rId310" xr:uid="{00000000-0004-0000-0200-000035010000}"/>
    <hyperlink ref="F241" r:id="rId311" xr:uid="{00000000-0004-0000-0200-000036010000}"/>
    <hyperlink ref="F242" r:id="rId312" xr:uid="{00000000-0004-0000-0200-000037010000}"/>
    <hyperlink ref="S242" r:id="rId313" xr:uid="{00000000-0004-0000-0200-000038010000}"/>
    <hyperlink ref="F243" r:id="rId314" xr:uid="{00000000-0004-0000-0200-000039010000}"/>
    <hyperlink ref="F245" r:id="rId315" xr:uid="{00000000-0004-0000-0200-00003A010000}"/>
    <hyperlink ref="S245" r:id="rId316" xr:uid="{00000000-0004-0000-0200-00003B010000}"/>
    <hyperlink ref="F246" r:id="rId317" xr:uid="{00000000-0004-0000-0200-00003C010000}"/>
    <hyperlink ref="S246" r:id="rId318" xr:uid="{00000000-0004-0000-0200-00003D010000}"/>
    <hyperlink ref="F247" r:id="rId319" location="click=https://t.co/G5h19WJE0Y" xr:uid="{00000000-0004-0000-0200-00003E010000}"/>
    <hyperlink ref="F248" r:id="rId320" xr:uid="{00000000-0004-0000-0200-00003F010000}"/>
    <hyperlink ref="F249" r:id="rId321" xr:uid="{00000000-0004-0000-0200-000040010000}"/>
    <hyperlink ref="G249" r:id="rId322" xr:uid="{00000000-0004-0000-0200-000041010000}"/>
    <hyperlink ref="S249" r:id="rId323" xr:uid="{00000000-0004-0000-0200-000042010000}"/>
    <hyperlink ref="F250" r:id="rId324" xr:uid="{00000000-0004-0000-0200-000043010000}"/>
    <hyperlink ref="F251" r:id="rId325" xr:uid="{00000000-0004-0000-0200-000044010000}"/>
    <hyperlink ref="S251" r:id="rId326" xr:uid="{00000000-0004-0000-0200-000045010000}"/>
    <hyperlink ref="F252" r:id="rId327" xr:uid="{00000000-0004-0000-0200-000046010000}"/>
    <hyperlink ref="S252" r:id="rId328" xr:uid="{00000000-0004-0000-0200-000047010000}"/>
    <hyperlink ref="S253" r:id="rId329" xr:uid="{00000000-0004-0000-0200-000048010000}"/>
    <hyperlink ref="F254" r:id="rId330" xr:uid="{00000000-0004-0000-0200-000049010000}"/>
    <hyperlink ref="S254" r:id="rId331" xr:uid="{00000000-0004-0000-0200-00004A010000}"/>
    <hyperlink ref="F255" r:id="rId332" xr:uid="{00000000-0004-0000-0200-00004B010000}"/>
    <hyperlink ref="S255" r:id="rId333" xr:uid="{00000000-0004-0000-0200-00004C010000}"/>
    <hyperlink ref="F256" r:id="rId334" xr:uid="{00000000-0004-0000-0200-00004D010000}"/>
    <hyperlink ref="S256" r:id="rId335" xr:uid="{00000000-0004-0000-0200-00004E010000}"/>
    <hyperlink ref="F257" r:id="rId336" xr:uid="{00000000-0004-0000-0200-00004F010000}"/>
    <hyperlink ref="F258" r:id="rId337" xr:uid="{00000000-0004-0000-0200-000050010000}"/>
    <hyperlink ref="F259" r:id="rId338" xr:uid="{00000000-0004-0000-0200-000051010000}"/>
    <hyperlink ref="F260" r:id="rId339" xr:uid="{00000000-0004-0000-0200-000052010000}"/>
    <hyperlink ref="S260" r:id="rId340" xr:uid="{00000000-0004-0000-0200-000053010000}"/>
    <hyperlink ref="F261" r:id="rId341" xr:uid="{00000000-0004-0000-0200-000054010000}"/>
    <hyperlink ref="F262" r:id="rId342" xr:uid="{00000000-0004-0000-0200-000055010000}"/>
    <hyperlink ref="S262" r:id="rId343" xr:uid="{00000000-0004-0000-0200-000056010000}"/>
    <hyperlink ref="F263" r:id="rId344" xr:uid="{00000000-0004-0000-0200-000057010000}"/>
    <hyperlink ref="S263" r:id="rId345" xr:uid="{00000000-0004-0000-0200-000058010000}"/>
    <hyperlink ref="F264" r:id="rId346" xr:uid="{00000000-0004-0000-0200-000059010000}"/>
    <hyperlink ref="F265" r:id="rId347" xr:uid="{00000000-0004-0000-0200-00005A010000}"/>
    <hyperlink ref="S266" r:id="rId348" xr:uid="{00000000-0004-0000-0200-00005B010000}"/>
    <hyperlink ref="F267" r:id="rId349" location="click=https://t.co/uS5c8s8E3V" xr:uid="{00000000-0004-0000-0200-00005C010000}"/>
    <hyperlink ref="F268" r:id="rId350" location="click=https://t.co/uS5c8s8E3V" xr:uid="{00000000-0004-0000-0200-00005D010000}"/>
    <hyperlink ref="F270" r:id="rId351" xr:uid="{00000000-0004-0000-0200-00005E010000}"/>
    <hyperlink ref="S270" r:id="rId352" xr:uid="{00000000-0004-0000-0200-00005F010000}"/>
    <hyperlink ref="F271" r:id="rId353" xr:uid="{00000000-0004-0000-0200-000060010000}"/>
    <hyperlink ref="F272" r:id="rId354" xr:uid="{00000000-0004-0000-0200-000061010000}"/>
    <hyperlink ref="F273" r:id="rId355" xr:uid="{00000000-0004-0000-0200-000062010000}"/>
    <hyperlink ref="S273" r:id="rId356" xr:uid="{00000000-0004-0000-0200-000063010000}"/>
    <hyperlink ref="F274" r:id="rId357" xr:uid="{00000000-0004-0000-0200-000064010000}"/>
    <hyperlink ref="F275" r:id="rId358" xr:uid="{00000000-0004-0000-0200-000065010000}"/>
    <hyperlink ref="G276" r:id="rId359" xr:uid="{00000000-0004-0000-0200-000066010000}"/>
    <hyperlink ref="F277" r:id="rId360" xr:uid="{00000000-0004-0000-0200-000067010000}"/>
    <hyperlink ref="G277" r:id="rId361" xr:uid="{00000000-0004-0000-0200-000068010000}"/>
    <hyperlink ref="S277" r:id="rId362" xr:uid="{00000000-0004-0000-0200-000069010000}"/>
    <hyperlink ref="F278" r:id="rId363" xr:uid="{00000000-0004-0000-0200-00006A010000}"/>
    <hyperlink ref="S278" r:id="rId364" xr:uid="{00000000-0004-0000-0200-00006B010000}"/>
    <hyperlink ref="F279" r:id="rId365" xr:uid="{00000000-0004-0000-0200-00006C010000}"/>
    <hyperlink ref="F280" r:id="rId366" xr:uid="{00000000-0004-0000-0200-00006D010000}"/>
    <hyperlink ref="F281" r:id="rId367" xr:uid="{00000000-0004-0000-0200-00006E010000}"/>
    <hyperlink ref="S281" r:id="rId368" xr:uid="{00000000-0004-0000-0200-00006F010000}"/>
    <hyperlink ref="F282" r:id="rId369" xr:uid="{00000000-0004-0000-0200-000070010000}"/>
    <hyperlink ref="F283" r:id="rId370" xr:uid="{00000000-0004-0000-0200-000071010000}"/>
    <hyperlink ref="G283" r:id="rId371" xr:uid="{00000000-0004-0000-0200-000072010000}"/>
    <hyperlink ref="F284" r:id="rId372" xr:uid="{00000000-0004-0000-0200-000073010000}"/>
    <hyperlink ref="S284" r:id="rId373" xr:uid="{00000000-0004-0000-0200-000074010000}"/>
    <hyperlink ref="S285" r:id="rId374" xr:uid="{00000000-0004-0000-0200-000075010000}"/>
    <hyperlink ref="F286" r:id="rId375" xr:uid="{00000000-0004-0000-0200-000076010000}"/>
    <hyperlink ref="G286" r:id="rId376" xr:uid="{00000000-0004-0000-0200-000077010000}"/>
    <hyperlink ref="S286" r:id="rId377" xr:uid="{00000000-0004-0000-0200-000078010000}"/>
    <hyperlink ref="F287" r:id="rId378" xr:uid="{00000000-0004-0000-0200-000079010000}"/>
    <hyperlink ref="S287" r:id="rId379" xr:uid="{00000000-0004-0000-0200-00007A010000}"/>
    <hyperlink ref="F289" r:id="rId380" xr:uid="{00000000-0004-0000-0200-00007B010000}"/>
    <hyperlink ref="S290" r:id="rId381" xr:uid="{00000000-0004-0000-0200-00007C010000}"/>
    <hyperlink ref="F291" r:id="rId382" xr:uid="{00000000-0004-0000-0200-00007D010000}"/>
    <hyperlink ref="S291" r:id="rId383" xr:uid="{00000000-0004-0000-0200-00007E010000}"/>
    <hyperlink ref="G292" r:id="rId384" xr:uid="{00000000-0004-0000-0200-00007F010000}"/>
    <hyperlink ref="S292" r:id="rId385" xr:uid="{00000000-0004-0000-0200-000080010000}"/>
    <hyperlink ref="F293" r:id="rId386" xr:uid="{00000000-0004-0000-0200-000081010000}"/>
    <hyperlink ref="G293" r:id="rId387" xr:uid="{00000000-0004-0000-0200-000082010000}"/>
    <hyperlink ref="F294" r:id="rId388" xr:uid="{00000000-0004-0000-0200-000083010000}"/>
    <hyperlink ref="F295" r:id="rId389" location=".W_dIqlMuOYQ.twitter" xr:uid="{00000000-0004-0000-0200-000084010000}"/>
    <hyperlink ref="G296" r:id="rId390" xr:uid="{00000000-0004-0000-0200-000085010000}"/>
    <hyperlink ref="F298" r:id="rId391" xr:uid="{00000000-0004-0000-0200-000086010000}"/>
    <hyperlink ref="C299" r:id="rId392" xr:uid="{00000000-0004-0000-0200-000087010000}"/>
    <hyperlink ref="F299" r:id="rId393" location=".W_dFv60vMKg.twitter" xr:uid="{00000000-0004-0000-0200-000088010000}"/>
    <hyperlink ref="S299" r:id="rId394" xr:uid="{00000000-0004-0000-0200-000089010000}"/>
    <hyperlink ref="F301" r:id="rId395" xr:uid="{00000000-0004-0000-0200-00008A010000}"/>
    <hyperlink ref="G303" r:id="rId396" xr:uid="{00000000-0004-0000-0200-00008B010000}"/>
    <hyperlink ref="F305" r:id="rId397" xr:uid="{00000000-0004-0000-0200-00008C010000}"/>
    <hyperlink ref="S305" r:id="rId398" xr:uid="{00000000-0004-0000-0200-00008D010000}"/>
    <hyperlink ref="F306" r:id="rId399" xr:uid="{00000000-0004-0000-0200-00008E010000}"/>
    <hyperlink ref="F307" r:id="rId400" xr:uid="{00000000-0004-0000-0200-00008F010000}"/>
    <hyperlink ref="S307" r:id="rId401" xr:uid="{00000000-0004-0000-0200-000090010000}"/>
    <hyperlink ref="F308" r:id="rId402" xr:uid="{00000000-0004-0000-0200-000091010000}"/>
    <hyperlink ref="G308" r:id="rId403" xr:uid="{00000000-0004-0000-0200-000092010000}"/>
    <hyperlink ref="S308" r:id="rId404" xr:uid="{00000000-0004-0000-0200-000093010000}"/>
    <hyperlink ref="F309" r:id="rId405" xr:uid="{00000000-0004-0000-0200-000094010000}"/>
    <hyperlink ref="G309" r:id="rId406" xr:uid="{00000000-0004-0000-0200-000095010000}"/>
    <hyperlink ref="S309" r:id="rId407" xr:uid="{00000000-0004-0000-0200-000096010000}"/>
    <hyperlink ref="F311" r:id="rId408" xr:uid="{00000000-0004-0000-0200-000097010000}"/>
    <hyperlink ref="S311" r:id="rId409" xr:uid="{00000000-0004-0000-0200-000098010000}"/>
    <hyperlink ref="F312" r:id="rId410" xr:uid="{00000000-0004-0000-0200-000099010000}"/>
    <hyperlink ref="S312" r:id="rId411" xr:uid="{00000000-0004-0000-0200-00009A010000}"/>
    <hyperlink ref="F314" r:id="rId412" xr:uid="{00000000-0004-0000-0200-00009B010000}"/>
    <hyperlink ref="Q314" r:id="rId413" xr:uid="{00000000-0004-0000-0200-00009C010000}"/>
    <hyperlink ref="S314" r:id="rId414" xr:uid="{00000000-0004-0000-0200-00009D010000}"/>
    <hyperlink ref="G315" r:id="rId415" xr:uid="{00000000-0004-0000-0200-00009E010000}"/>
    <hyperlink ref="S315" r:id="rId416" xr:uid="{00000000-0004-0000-0200-00009F010000}"/>
    <hyperlink ref="F316" r:id="rId417" xr:uid="{00000000-0004-0000-0200-0000A0010000}"/>
    <hyperlink ref="G318" r:id="rId418" xr:uid="{00000000-0004-0000-0200-0000A1010000}"/>
    <hyperlink ref="F320" r:id="rId419" xr:uid="{00000000-0004-0000-0200-0000A2010000}"/>
    <hyperlink ref="S320" r:id="rId420" xr:uid="{00000000-0004-0000-0200-0000A3010000}"/>
    <hyperlink ref="G322" r:id="rId421" xr:uid="{00000000-0004-0000-0200-0000A4010000}"/>
    <hyperlink ref="S322" r:id="rId422" xr:uid="{00000000-0004-0000-0200-0000A5010000}"/>
    <hyperlink ref="F323" r:id="rId423" xr:uid="{00000000-0004-0000-0200-0000A6010000}"/>
    <hyperlink ref="F325" r:id="rId424" xr:uid="{00000000-0004-0000-0200-0000A7010000}"/>
    <hyperlink ref="S325" r:id="rId425" xr:uid="{00000000-0004-0000-0200-0000A8010000}"/>
    <hyperlink ref="C326" r:id="rId426" xr:uid="{00000000-0004-0000-0200-0000A9010000}"/>
    <hyperlink ref="F326" r:id="rId427" xr:uid="{00000000-0004-0000-0200-0000AA010000}"/>
    <hyperlink ref="G326" r:id="rId428" xr:uid="{00000000-0004-0000-0200-0000AB010000}"/>
    <hyperlink ref="S326" r:id="rId429" xr:uid="{00000000-0004-0000-0200-0000AC010000}"/>
    <hyperlink ref="F328" r:id="rId430" xr:uid="{00000000-0004-0000-0200-0000AD010000}"/>
    <hyperlink ref="S328" r:id="rId431" xr:uid="{00000000-0004-0000-0200-0000AE010000}"/>
    <hyperlink ref="F329" r:id="rId432" xr:uid="{00000000-0004-0000-0200-0000AF010000}"/>
    <hyperlink ref="F330" r:id="rId433" xr:uid="{00000000-0004-0000-0200-0000B0010000}"/>
    <hyperlink ref="F331" r:id="rId434" xr:uid="{00000000-0004-0000-0200-0000B1010000}"/>
    <hyperlink ref="G332" r:id="rId435" xr:uid="{00000000-0004-0000-0200-0000B2010000}"/>
    <hyperlink ref="F333" r:id="rId436" xr:uid="{00000000-0004-0000-0200-0000B3010000}"/>
    <hyperlink ref="S333" r:id="rId437" xr:uid="{00000000-0004-0000-0200-0000B4010000}"/>
    <hyperlink ref="F334" r:id="rId438" xr:uid="{00000000-0004-0000-0200-0000B5010000}"/>
    <hyperlink ref="S334" r:id="rId439" xr:uid="{00000000-0004-0000-0200-0000B6010000}"/>
    <hyperlink ref="F336" r:id="rId440" xr:uid="{00000000-0004-0000-0200-0000B7010000}"/>
    <hyperlink ref="F337" r:id="rId441" xr:uid="{00000000-0004-0000-0200-0000B8010000}"/>
    <hyperlink ref="S338" r:id="rId442" xr:uid="{00000000-0004-0000-0200-0000B9010000}"/>
    <hyperlink ref="F339" r:id="rId443" xr:uid="{00000000-0004-0000-0200-0000BA010000}"/>
    <hyperlink ref="F340" r:id="rId444" xr:uid="{00000000-0004-0000-0200-0000BB010000}"/>
    <hyperlink ref="F341" r:id="rId445" xr:uid="{00000000-0004-0000-0200-0000BC010000}"/>
    <hyperlink ref="S341" r:id="rId446" xr:uid="{00000000-0004-0000-0200-0000BD010000}"/>
    <hyperlink ref="F342" r:id="rId447" xr:uid="{00000000-0004-0000-0200-0000BE010000}"/>
    <hyperlink ref="S343" r:id="rId448" xr:uid="{00000000-0004-0000-0200-0000BF010000}"/>
    <hyperlink ref="F344" r:id="rId449" xr:uid="{00000000-0004-0000-0200-0000C0010000}"/>
    <hyperlink ref="G344" r:id="rId450" xr:uid="{00000000-0004-0000-0200-0000C1010000}"/>
    <hyperlink ref="S344" r:id="rId451" xr:uid="{00000000-0004-0000-0200-0000C2010000}"/>
    <hyperlink ref="F345" r:id="rId452" xr:uid="{00000000-0004-0000-0200-0000C3010000}"/>
    <hyperlink ref="S345" r:id="rId453" xr:uid="{00000000-0004-0000-0200-0000C4010000}"/>
    <hyperlink ref="F346" r:id="rId454" xr:uid="{00000000-0004-0000-0200-0000C5010000}"/>
    <hyperlink ref="G346" r:id="rId455" xr:uid="{00000000-0004-0000-0200-0000C6010000}"/>
    <hyperlink ref="S346" r:id="rId456" xr:uid="{00000000-0004-0000-0200-0000C7010000}"/>
    <hyperlink ref="F347" r:id="rId457" xr:uid="{00000000-0004-0000-0200-0000C8010000}"/>
    <hyperlink ref="S347" r:id="rId458" xr:uid="{00000000-0004-0000-0200-0000C9010000}"/>
    <hyperlink ref="F348" r:id="rId459" xr:uid="{00000000-0004-0000-0200-0000CA010000}"/>
    <hyperlink ref="G348" r:id="rId460" xr:uid="{00000000-0004-0000-0200-0000CB010000}"/>
    <hyperlink ref="S348" r:id="rId461" xr:uid="{00000000-0004-0000-0200-0000CC010000}"/>
    <hyperlink ref="F349" r:id="rId462" xr:uid="{00000000-0004-0000-0200-0000CD010000}"/>
    <hyperlink ref="G349" r:id="rId463" xr:uid="{00000000-0004-0000-0200-0000CE010000}"/>
    <hyperlink ref="S349" r:id="rId464" xr:uid="{00000000-0004-0000-0200-0000CF010000}"/>
    <hyperlink ref="S350" r:id="rId465" xr:uid="{00000000-0004-0000-0200-0000D0010000}"/>
    <hyperlink ref="F351" r:id="rId466" xr:uid="{00000000-0004-0000-0200-0000D1010000}"/>
    <hyperlink ref="S351" r:id="rId467" xr:uid="{00000000-0004-0000-0200-0000D2010000}"/>
    <hyperlink ref="G353" r:id="rId468" xr:uid="{00000000-0004-0000-0200-0000D3010000}"/>
    <hyperlink ref="F354" r:id="rId469" xr:uid="{00000000-0004-0000-0200-0000D4010000}"/>
    <hyperlink ref="S355" r:id="rId470" xr:uid="{00000000-0004-0000-0200-0000D5010000}"/>
    <hyperlink ref="S356" r:id="rId471" xr:uid="{00000000-0004-0000-0200-0000D6010000}"/>
    <hyperlink ref="F357" r:id="rId472" xr:uid="{00000000-0004-0000-0200-0000D7010000}"/>
    <hyperlink ref="G358" r:id="rId473" xr:uid="{00000000-0004-0000-0200-0000D8010000}"/>
    <hyperlink ref="F359" r:id="rId474" xr:uid="{00000000-0004-0000-0200-0000D9010000}"/>
    <hyperlink ref="F360" r:id="rId475" xr:uid="{00000000-0004-0000-0200-0000DA010000}"/>
    <hyperlink ref="S360" r:id="rId476" xr:uid="{00000000-0004-0000-0200-0000DB010000}"/>
    <hyperlink ref="F361" r:id="rId477" xr:uid="{00000000-0004-0000-0200-0000DC010000}"/>
    <hyperlink ref="G361" r:id="rId478" xr:uid="{00000000-0004-0000-0200-0000DD010000}"/>
    <hyperlink ref="F363" r:id="rId479" xr:uid="{00000000-0004-0000-0200-0000DE010000}"/>
    <hyperlink ref="S363" r:id="rId480" xr:uid="{00000000-0004-0000-0200-0000DF010000}"/>
    <hyperlink ref="F364" r:id="rId481" xr:uid="{00000000-0004-0000-0200-0000E0010000}"/>
    <hyperlink ref="S364" r:id="rId482" xr:uid="{00000000-0004-0000-0200-0000E1010000}"/>
    <hyperlink ref="F365" r:id="rId483" xr:uid="{00000000-0004-0000-0200-0000E2010000}"/>
    <hyperlink ref="S365" r:id="rId484" xr:uid="{00000000-0004-0000-0200-0000E3010000}"/>
    <hyperlink ref="G366" r:id="rId485" xr:uid="{00000000-0004-0000-0200-0000E4010000}"/>
    <hyperlink ref="S366" r:id="rId486" xr:uid="{00000000-0004-0000-0200-0000E5010000}"/>
    <hyperlink ref="G367" r:id="rId487" xr:uid="{00000000-0004-0000-0200-0000E6010000}"/>
    <hyperlink ref="G368" r:id="rId488" xr:uid="{00000000-0004-0000-0200-0000E7010000}"/>
    <hyperlink ref="S368" r:id="rId489" xr:uid="{00000000-0004-0000-0200-0000E8010000}"/>
    <hyperlink ref="F369" r:id="rId490" xr:uid="{00000000-0004-0000-0200-0000E9010000}"/>
    <hyperlink ref="F370" r:id="rId491" xr:uid="{00000000-0004-0000-0200-0000EA010000}"/>
    <hyperlink ref="F371" r:id="rId492" xr:uid="{00000000-0004-0000-0200-0000EB010000}"/>
    <hyperlink ref="F372" r:id="rId493" xr:uid="{00000000-0004-0000-0200-0000EC010000}"/>
    <hyperlink ref="F373" r:id="rId494" xr:uid="{00000000-0004-0000-0200-0000ED010000}"/>
    <hyperlink ref="F374" r:id="rId495" xr:uid="{00000000-0004-0000-0200-0000EE010000}"/>
    <hyperlink ref="S376" r:id="rId496" xr:uid="{00000000-0004-0000-0200-0000EF010000}"/>
    <hyperlink ref="S377" r:id="rId497" xr:uid="{00000000-0004-0000-0200-0000F0010000}"/>
    <hyperlink ref="F378" r:id="rId498" xr:uid="{00000000-0004-0000-0200-0000F1010000}"/>
    <hyperlink ref="S378" r:id="rId499" xr:uid="{00000000-0004-0000-0200-0000F2010000}"/>
    <hyperlink ref="F379" r:id="rId500" xr:uid="{00000000-0004-0000-0200-0000F3010000}"/>
    <hyperlink ref="F380" r:id="rId501" xr:uid="{00000000-0004-0000-0200-0000F4010000}"/>
    <hyperlink ref="G380" r:id="rId502" xr:uid="{00000000-0004-0000-0200-0000F5010000}"/>
    <hyperlink ref="F382" r:id="rId503" xr:uid="{00000000-0004-0000-0200-0000F6010000}"/>
    <hyperlink ref="S382" r:id="rId504" xr:uid="{00000000-0004-0000-0200-0000F7010000}"/>
    <hyperlink ref="F383" r:id="rId505" xr:uid="{00000000-0004-0000-0200-0000F8010000}"/>
    <hyperlink ref="S383" r:id="rId506" xr:uid="{00000000-0004-0000-0200-0000F9010000}"/>
    <hyperlink ref="F384" r:id="rId507" xr:uid="{00000000-0004-0000-0200-0000FA010000}"/>
    <hyperlink ref="F385" r:id="rId508" xr:uid="{00000000-0004-0000-0200-0000FB010000}"/>
    <hyperlink ref="S386" r:id="rId509" xr:uid="{00000000-0004-0000-0200-0000FC010000}"/>
    <hyperlink ref="F387" r:id="rId510" xr:uid="{00000000-0004-0000-0200-0000FD010000}"/>
    <hyperlink ref="F388" r:id="rId511" xr:uid="{00000000-0004-0000-0200-0000FE010000}"/>
    <hyperlink ref="S388" r:id="rId512" xr:uid="{00000000-0004-0000-0200-0000FF010000}"/>
    <hyperlink ref="F389" r:id="rId513" xr:uid="{00000000-0004-0000-0200-000000020000}"/>
    <hyperlink ref="F390" r:id="rId514" xr:uid="{00000000-0004-0000-0200-000001020000}"/>
    <hyperlink ref="S390" r:id="rId515" xr:uid="{00000000-0004-0000-0200-000002020000}"/>
    <hyperlink ref="F391" r:id="rId516" xr:uid="{00000000-0004-0000-0200-000003020000}"/>
    <hyperlink ref="S391" r:id="rId517" xr:uid="{00000000-0004-0000-0200-000004020000}"/>
    <hyperlink ref="F392" r:id="rId518" xr:uid="{00000000-0004-0000-0200-000005020000}"/>
    <hyperlink ref="S392" r:id="rId519" xr:uid="{00000000-0004-0000-0200-000006020000}"/>
    <hyperlink ref="F393" r:id="rId520" xr:uid="{00000000-0004-0000-0200-000007020000}"/>
    <hyperlink ref="F394" r:id="rId521" location=".W_cGURyV7QM.twitter" xr:uid="{00000000-0004-0000-0200-000008020000}"/>
    <hyperlink ref="S394" r:id="rId522" xr:uid="{00000000-0004-0000-0200-000009020000}"/>
    <hyperlink ref="F395" r:id="rId523" xr:uid="{00000000-0004-0000-0200-00000A020000}"/>
    <hyperlink ref="S395" r:id="rId524" xr:uid="{00000000-0004-0000-0200-00000B020000}"/>
    <hyperlink ref="G396" r:id="rId525" xr:uid="{00000000-0004-0000-0200-00000C020000}"/>
    <hyperlink ref="S396" r:id="rId526" xr:uid="{00000000-0004-0000-0200-00000D020000}"/>
    <hyperlink ref="G398" r:id="rId527" xr:uid="{00000000-0004-0000-0200-00000E020000}"/>
    <hyperlink ref="F399" r:id="rId528" xr:uid="{00000000-0004-0000-0200-00000F020000}"/>
    <hyperlink ref="F400" r:id="rId529" xr:uid="{00000000-0004-0000-0200-000010020000}"/>
    <hyperlink ref="F401" r:id="rId530" xr:uid="{00000000-0004-0000-0200-000011020000}"/>
    <hyperlink ref="F402" r:id="rId531" xr:uid="{00000000-0004-0000-0200-000012020000}"/>
    <hyperlink ref="G402" r:id="rId532" xr:uid="{00000000-0004-0000-0200-000013020000}"/>
    <hyperlink ref="S402" r:id="rId533" xr:uid="{00000000-0004-0000-0200-000014020000}"/>
    <hyperlink ref="F403" r:id="rId534" xr:uid="{00000000-0004-0000-0200-000015020000}"/>
    <hyperlink ref="G403" r:id="rId535" xr:uid="{00000000-0004-0000-0200-000016020000}"/>
    <hyperlink ref="S403" r:id="rId536" xr:uid="{00000000-0004-0000-0200-000017020000}"/>
    <hyperlink ref="F404" r:id="rId537" xr:uid="{00000000-0004-0000-0200-000018020000}"/>
    <hyperlink ref="F405" r:id="rId538" xr:uid="{00000000-0004-0000-0200-000019020000}"/>
    <hyperlink ref="G405" r:id="rId539" xr:uid="{00000000-0004-0000-0200-00001A020000}"/>
    <hyperlink ref="S405" r:id="rId540" xr:uid="{00000000-0004-0000-0200-00001B020000}"/>
    <hyperlink ref="F406" r:id="rId541" xr:uid="{00000000-0004-0000-0200-00001C020000}"/>
    <hyperlink ref="S406" r:id="rId542" xr:uid="{00000000-0004-0000-0200-00001D020000}"/>
    <hyperlink ref="F407" r:id="rId543" xr:uid="{00000000-0004-0000-0200-00001E020000}"/>
    <hyperlink ref="S408" r:id="rId544" xr:uid="{00000000-0004-0000-0200-00001F020000}"/>
    <hyperlink ref="S409" r:id="rId545" xr:uid="{00000000-0004-0000-0200-000020020000}"/>
    <hyperlink ref="F410" r:id="rId546" xr:uid="{00000000-0004-0000-0200-000021020000}"/>
    <hyperlink ref="S411" r:id="rId547" xr:uid="{00000000-0004-0000-0200-000022020000}"/>
    <hyperlink ref="F412" r:id="rId548" xr:uid="{00000000-0004-0000-0200-000023020000}"/>
    <hyperlink ref="F413" r:id="rId549" xr:uid="{00000000-0004-0000-0200-000024020000}"/>
    <hyperlink ref="S413" r:id="rId550" xr:uid="{00000000-0004-0000-0200-000025020000}"/>
    <hyperlink ref="F414" r:id="rId551" xr:uid="{00000000-0004-0000-0200-000026020000}"/>
    <hyperlink ref="G415" r:id="rId552" xr:uid="{00000000-0004-0000-0200-000027020000}"/>
    <hyperlink ref="S415" r:id="rId553" xr:uid="{00000000-0004-0000-0200-000028020000}"/>
    <hyperlink ref="F416" r:id="rId554" xr:uid="{00000000-0004-0000-0200-000029020000}"/>
    <hyperlink ref="G416" r:id="rId555" xr:uid="{00000000-0004-0000-0200-00002A020000}"/>
    <hyperlink ref="S416" r:id="rId556" xr:uid="{00000000-0004-0000-0200-00002B020000}"/>
    <hyperlink ref="F417" r:id="rId557" xr:uid="{00000000-0004-0000-0200-00002C020000}"/>
    <hyperlink ref="F418" r:id="rId558" xr:uid="{00000000-0004-0000-0200-00002D020000}"/>
    <hyperlink ref="F419" r:id="rId559" xr:uid="{00000000-0004-0000-0200-00002E020000}"/>
    <hyperlink ref="F420" r:id="rId560" xr:uid="{00000000-0004-0000-0200-00002F020000}"/>
    <hyperlink ref="F421" r:id="rId561" xr:uid="{00000000-0004-0000-0200-000030020000}"/>
    <hyperlink ref="S421" r:id="rId562" xr:uid="{00000000-0004-0000-0200-000031020000}"/>
    <hyperlink ref="F422" r:id="rId563" xr:uid="{00000000-0004-0000-0200-000032020000}"/>
    <hyperlink ref="F423" r:id="rId564" xr:uid="{00000000-0004-0000-0200-000033020000}"/>
    <hyperlink ref="S423" r:id="rId565" xr:uid="{00000000-0004-0000-0200-000034020000}"/>
    <hyperlink ref="F424" r:id="rId566" xr:uid="{00000000-0004-0000-0200-000035020000}"/>
    <hyperlink ref="F425" r:id="rId567" xr:uid="{00000000-0004-0000-0200-000036020000}"/>
    <hyperlink ref="F426" r:id="rId568" xr:uid="{00000000-0004-0000-0200-000037020000}"/>
    <hyperlink ref="F427" r:id="rId569" xr:uid="{00000000-0004-0000-0200-000038020000}"/>
    <hyperlink ref="G427" r:id="rId570" xr:uid="{00000000-0004-0000-0200-000039020000}"/>
    <hyperlink ref="G428" r:id="rId571" xr:uid="{00000000-0004-0000-0200-00003A020000}"/>
    <hyperlink ref="F430" r:id="rId572" xr:uid="{00000000-0004-0000-0200-00003B020000}"/>
    <hyperlink ref="G430" r:id="rId573" xr:uid="{00000000-0004-0000-0200-00003C020000}"/>
    <hyperlink ref="F431" r:id="rId574" xr:uid="{00000000-0004-0000-0200-00003D020000}"/>
    <hyperlink ref="G432" r:id="rId575" xr:uid="{00000000-0004-0000-0200-00003E020000}"/>
    <hyperlink ref="S432" r:id="rId576" xr:uid="{00000000-0004-0000-0200-00003F020000}"/>
    <hyperlink ref="F433" r:id="rId577" location=".W_b0qi1Ou_s.twitter" xr:uid="{00000000-0004-0000-0200-000040020000}"/>
    <hyperlink ref="F434" r:id="rId578" xr:uid="{00000000-0004-0000-0200-000041020000}"/>
    <hyperlink ref="F435" r:id="rId579" xr:uid="{00000000-0004-0000-0200-000042020000}"/>
    <hyperlink ref="S435" r:id="rId580" xr:uid="{00000000-0004-0000-0200-000043020000}"/>
    <hyperlink ref="F436" r:id="rId581" xr:uid="{00000000-0004-0000-0200-000044020000}"/>
    <hyperlink ref="G436" r:id="rId582" xr:uid="{00000000-0004-0000-0200-000045020000}"/>
    <hyperlink ref="F437" r:id="rId583" xr:uid="{00000000-0004-0000-0200-000046020000}"/>
    <hyperlink ref="F438" r:id="rId584" xr:uid="{00000000-0004-0000-0200-000047020000}"/>
    <hyperlink ref="F439" r:id="rId585" xr:uid="{00000000-0004-0000-0200-000048020000}"/>
    <hyperlink ref="F440" r:id="rId586" xr:uid="{00000000-0004-0000-0200-000049020000}"/>
    <hyperlink ref="S440" r:id="rId587" xr:uid="{00000000-0004-0000-0200-00004A020000}"/>
    <hyperlink ref="S442" r:id="rId588" xr:uid="{00000000-0004-0000-0200-00004B020000}"/>
    <hyperlink ref="F443" r:id="rId589" xr:uid="{00000000-0004-0000-0200-00004C020000}"/>
    <hyperlink ref="F446" r:id="rId590" xr:uid="{00000000-0004-0000-0200-00004D020000}"/>
    <hyperlink ref="G446" r:id="rId591" xr:uid="{00000000-0004-0000-0200-00004E020000}"/>
    <hyperlink ref="F447" r:id="rId592" xr:uid="{00000000-0004-0000-0200-00004F020000}"/>
    <hyperlink ref="F448" r:id="rId593" xr:uid="{00000000-0004-0000-0200-000050020000}"/>
    <hyperlink ref="G448" r:id="rId594" xr:uid="{00000000-0004-0000-0200-000051020000}"/>
    <hyperlink ref="F449" r:id="rId595" xr:uid="{00000000-0004-0000-0200-000052020000}"/>
    <hyperlink ref="S451" r:id="rId596" xr:uid="{00000000-0004-0000-0200-000053020000}"/>
    <hyperlink ref="S452" r:id="rId597" xr:uid="{00000000-0004-0000-0200-000054020000}"/>
    <hyperlink ref="F453" r:id="rId598" xr:uid="{00000000-0004-0000-0200-000055020000}"/>
    <hyperlink ref="S453" r:id="rId599" xr:uid="{00000000-0004-0000-0200-000056020000}"/>
    <hyperlink ref="F454" r:id="rId600" xr:uid="{00000000-0004-0000-0200-000057020000}"/>
    <hyperlink ref="S454" r:id="rId601" xr:uid="{00000000-0004-0000-0200-000058020000}"/>
    <hyperlink ref="F455" r:id="rId602" xr:uid="{00000000-0004-0000-0200-000059020000}"/>
    <hyperlink ref="S456" r:id="rId603" xr:uid="{00000000-0004-0000-0200-00005A020000}"/>
    <hyperlink ref="F457" r:id="rId604" xr:uid="{00000000-0004-0000-0200-00005B020000}"/>
    <hyperlink ref="G458" r:id="rId605" xr:uid="{00000000-0004-0000-0200-00005C020000}"/>
    <hyperlink ref="F460" r:id="rId606" xr:uid="{00000000-0004-0000-0200-00005D020000}"/>
    <hyperlink ref="S460" r:id="rId607" xr:uid="{00000000-0004-0000-0200-00005E020000}"/>
    <hyperlink ref="G461" r:id="rId608" xr:uid="{00000000-0004-0000-0200-00005F020000}"/>
    <hyperlink ref="G462" r:id="rId609" xr:uid="{00000000-0004-0000-0200-000060020000}"/>
    <hyperlink ref="G463" r:id="rId610" xr:uid="{00000000-0004-0000-0200-000061020000}"/>
    <hyperlink ref="F465" r:id="rId611" xr:uid="{00000000-0004-0000-0200-000062020000}"/>
    <hyperlink ref="F466" r:id="rId612" xr:uid="{00000000-0004-0000-0200-000063020000}"/>
    <hyperlink ref="S466" r:id="rId613" xr:uid="{00000000-0004-0000-0200-000064020000}"/>
    <hyperlink ref="F468" r:id="rId614" xr:uid="{00000000-0004-0000-0200-000065020000}"/>
    <hyperlink ref="F469" r:id="rId615" xr:uid="{00000000-0004-0000-0200-000066020000}"/>
    <hyperlink ref="G470" r:id="rId616" xr:uid="{00000000-0004-0000-0200-000067020000}"/>
    <hyperlink ref="F471" r:id="rId617" xr:uid="{00000000-0004-0000-0200-000068020000}"/>
    <hyperlink ref="F472" r:id="rId618" xr:uid="{00000000-0004-0000-0200-000069020000}"/>
    <hyperlink ref="F473" r:id="rId619" xr:uid="{00000000-0004-0000-0200-00006A020000}"/>
    <hyperlink ref="S474" r:id="rId620" xr:uid="{00000000-0004-0000-0200-00006B020000}"/>
    <hyperlink ref="F475" r:id="rId621" xr:uid="{00000000-0004-0000-0200-00006C020000}"/>
    <hyperlink ref="G475" r:id="rId622" xr:uid="{00000000-0004-0000-0200-00006D020000}"/>
    <hyperlink ref="S475" r:id="rId623" xr:uid="{00000000-0004-0000-0200-00006E020000}"/>
    <hyperlink ref="F477" r:id="rId624" xr:uid="{00000000-0004-0000-0200-00006F020000}"/>
    <hyperlink ref="S479" r:id="rId625" xr:uid="{00000000-0004-0000-0200-000070020000}"/>
    <hyperlink ref="S480" r:id="rId626" xr:uid="{00000000-0004-0000-0200-000071020000}"/>
    <hyperlink ref="F481" r:id="rId627" xr:uid="{00000000-0004-0000-0200-000072020000}"/>
    <hyperlink ref="F482" r:id="rId628" xr:uid="{00000000-0004-0000-0200-000073020000}"/>
    <hyperlink ref="F484" r:id="rId629" xr:uid="{00000000-0004-0000-0200-000074020000}"/>
    <hyperlink ref="F485" r:id="rId630" xr:uid="{00000000-0004-0000-0200-000075020000}"/>
    <hyperlink ref="F486" r:id="rId631" xr:uid="{00000000-0004-0000-0200-000076020000}"/>
    <hyperlink ref="F488" r:id="rId632" xr:uid="{00000000-0004-0000-0200-000077020000}"/>
    <hyperlink ref="F489" r:id="rId633" xr:uid="{00000000-0004-0000-0200-000078020000}"/>
    <hyperlink ref="F490" r:id="rId634" xr:uid="{00000000-0004-0000-0200-000079020000}"/>
    <hyperlink ref="G490" r:id="rId635" xr:uid="{00000000-0004-0000-0200-00007A020000}"/>
    <hyperlink ref="F491" r:id="rId636" xr:uid="{00000000-0004-0000-0200-00007B020000}"/>
    <hyperlink ref="S491" r:id="rId637" xr:uid="{00000000-0004-0000-0200-00007C020000}"/>
    <hyperlink ref="F492" r:id="rId638" xr:uid="{00000000-0004-0000-0200-00007D020000}"/>
    <hyperlink ref="F493" r:id="rId639" xr:uid="{00000000-0004-0000-0200-00007E020000}"/>
    <hyperlink ref="F494" r:id="rId640" xr:uid="{00000000-0004-0000-0200-00007F020000}"/>
    <hyperlink ref="F495" r:id="rId641" xr:uid="{00000000-0004-0000-0200-000080020000}"/>
    <hyperlink ref="S495" r:id="rId642" xr:uid="{00000000-0004-0000-0200-000081020000}"/>
    <hyperlink ref="F496" r:id="rId643" xr:uid="{00000000-0004-0000-0200-000082020000}"/>
    <hyperlink ref="F497" r:id="rId644" xr:uid="{00000000-0004-0000-0200-000083020000}"/>
    <hyperlink ref="S497" r:id="rId645" xr:uid="{00000000-0004-0000-0200-000084020000}"/>
    <hyperlink ref="F498" r:id="rId646" xr:uid="{00000000-0004-0000-0200-000085020000}"/>
    <hyperlink ref="F499" r:id="rId647" xr:uid="{00000000-0004-0000-0200-000086020000}"/>
    <hyperlink ref="F500" r:id="rId648" xr:uid="{00000000-0004-0000-0200-000087020000}"/>
    <hyperlink ref="S500" r:id="rId649" xr:uid="{00000000-0004-0000-0200-000088020000}"/>
    <hyperlink ref="S501" r:id="rId650" xr:uid="{00000000-0004-0000-0200-000089020000}"/>
    <hyperlink ref="F503" r:id="rId651" xr:uid="{00000000-0004-0000-0200-00008A020000}"/>
    <hyperlink ref="F504" r:id="rId652" xr:uid="{00000000-0004-0000-0200-00008B020000}"/>
    <hyperlink ref="F505" r:id="rId653" xr:uid="{00000000-0004-0000-0200-00008C020000}"/>
    <hyperlink ref="S505" r:id="rId654" xr:uid="{00000000-0004-0000-0200-00008D020000}"/>
    <hyperlink ref="F506" r:id="rId655" xr:uid="{00000000-0004-0000-0200-00008E020000}"/>
    <hyperlink ref="F507" r:id="rId656" xr:uid="{00000000-0004-0000-0200-00008F020000}"/>
    <hyperlink ref="S507" r:id="rId657" xr:uid="{00000000-0004-0000-0200-000090020000}"/>
    <hyperlink ref="F508" r:id="rId658" location="click=https://t.co/uS5c8s8E3V" xr:uid="{00000000-0004-0000-0200-000091020000}"/>
    <hyperlink ref="F509" r:id="rId659" xr:uid="{00000000-0004-0000-0200-000092020000}"/>
    <hyperlink ref="S509" r:id="rId660" xr:uid="{00000000-0004-0000-0200-000093020000}"/>
    <hyperlink ref="F510" r:id="rId661" xr:uid="{00000000-0004-0000-0200-000094020000}"/>
    <hyperlink ref="G511" r:id="rId662" xr:uid="{00000000-0004-0000-0200-000095020000}"/>
    <hyperlink ref="F512" r:id="rId663" xr:uid="{00000000-0004-0000-0200-000096020000}"/>
    <hyperlink ref="F513" r:id="rId664" xr:uid="{00000000-0004-0000-0200-000097020000}"/>
    <hyperlink ref="S513" r:id="rId665" xr:uid="{00000000-0004-0000-0200-000098020000}"/>
    <hyperlink ref="F514" r:id="rId666" xr:uid="{00000000-0004-0000-0200-000099020000}"/>
    <hyperlink ref="G514" r:id="rId667" xr:uid="{00000000-0004-0000-0200-00009A020000}"/>
    <hyperlink ref="S514" r:id="rId668" xr:uid="{00000000-0004-0000-0200-00009B020000}"/>
    <hyperlink ref="F515" r:id="rId669" xr:uid="{00000000-0004-0000-0200-00009C020000}"/>
    <hyperlink ref="F516" r:id="rId670" xr:uid="{00000000-0004-0000-0200-00009D020000}"/>
    <hyperlink ref="S516" r:id="rId671" xr:uid="{00000000-0004-0000-0200-00009E020000}"/>
    <hyperlink ref="F517" r:id="rId672" xr:uid="{00000000-0004-0000-0200-00009F020000}"/>
    <hyperlink ref="F518" r:id="rId673" xr:uid="{00000000-0004-0000-0200-0000A0020000}"/>
    <hyperlink ref="F519" r:id="rId674" xr:uid="{00000000-0004-0000-0200-0000A1020000}"/>
    <hyperlink ref="F520" r:id="rId675" xr:uid="{00000000-0004-0000-0200-0000A2020000}"/>
    <hyperlink ref="S521" r:id="rId676" xr:uid="{00000000-0004-0000-0200-0000A3020000}"/>
    <hyperlink ref="F522" r:id="rId677" xr:uid="{00000000-0004-0000-0200-0000A4020000}"/>
    <hyperlink ref="S522" r:id="rId678" xr:uid="{00000000-0004-0000-0200-0000A5020000}"/>
    <hyperlink ref="F523" r:id="rId679" xr:uid="{00000000-0004-0000-0200-0000A6020000}"/>
    <hyperlink ref="S523" r:id="rId680" xr:uid="{00000000-0004-0000-0200-0000A7020000}"/>
    <hyperlink ref="F524" r:id="rId681" xr:uid="{00000000-0004-0000-0200-0000A8020000}"/>
    <hyperlink ref="S524" r:id="rId682" xr:uid="{00000000-0004-0000-0200-0000A9020000}"/>
    <hyperlink ref="F527" r:id="rId683" xr:uid="{00000000-0004-0000-0200-0000AA020000}"/>
    <hyperlink ref="G528" r:id="rId684" xr:uid="{00000000-0004-0000-0200-0000AB020000}"/>
    <hyperlink ref="F529" r:id="rId685" xr:uid="{00000000-0004-0000-0200-0000AC020000}"/>
    <hyperlink ref="G529" r:id="rId686" xr:uid="{00000000-0004-0000-0200-0000AD020000}"/>
    <hyperlink ref="S529" r:id="rId687" xr:uid="{00000000-0004-0000-0200-0000AE020000}"/>
    <hyperlink ref="F530" r:id="rId688" xr:uid="{00000000-0004-0000-0200-0000AF020000}"/>
    <hyperlink ref="S530" r:id="rId689" xr:uid="{00000000-0004-0000-0200-0000B0020000}"/>
    <hyperlink ref="G531" r:id="rId690" xr:uid="{00000000-0004-0000-0200-0000B1020000}"/>
    <hyperlink ref="S531" r:id="rId691" xr:uid="{00000000-0004-0000-0200-0000B2020000}"/>
    <hyperlink ref="F532" r:id="rId692" xr:uid="{00000000-0004-0000-0200-0000B3020000}"/>
    <hyperlink ref="F534" r:id="rId693" xr:uid="{00000000-0004-0000-0200-0000B4020000}"/>
    <hyperlink ref="S534" r:id="rId694" xr:uid="{00000000-0004-0000-0200-0000B5020000}"/>
    <hyperlink ref="G536" r:id="rId695" xr:uid="{00000000-0004-0000-0200-0000B6020000}"/>
    <hyperlink ref="C537" r:id="rId696" xr:uid="{00000000-0004-0000-0200-0000B7020000}"/>
    <hyperlink ref="F537" r:id="rId697" xr:uid="{00000000-0004-0000-0200-0000B8020000}"/>
    <hyperlink ref="G537" r:id="rId698" xr:uid="{00000000-0004-0000-0200-0000B9020000}"/>
    <hyperlink ref="S537" r:id="rId699" xr:uid="{00000000-0004-0000-0200-0000BA020000}"/>
    <hyperlink ref="S538" r:id="rId700" xr:uid="{00000000-0004-0000-0200-0000BB020000}"/>
    <hyperlink ref="F539" r:id="rId701" location=".W_axAOu8l08.twitter" xr:uid="{00000000-0004-0000-0200-0000BC020000}"/>
    <hyperlink ref="F541" r:id="rId702" xr:uid="{00000000-0004-0000-0200-0000BD020000}"/>
    <hyperlink ref="F542" r:id="rId703" xr:uid="{00000000-0004-0000-0200-0000BE020000}"/>
    <hyperlink ref="G542" r:id="rId704" xr:uid="{00000000-0004-0000-0200-0000BF020000}"/>
    <hyperlink ref="F544" r:id="rId705" xr:uid="{00000000-0004-0000-0200-0000C0020000}"/>
    <hyperlink ref="G544" r:id="rId706" xr:uid="{00000000-0004-0000-0200-0000C1020000}"/>
    <hyperlink ref="F546" r:id="rId707" xr:uid="{00000000-0004-0000-0200-0000C2020000}"/>
    <hyperlink ref="F548" r:id="rId708" xr:uid="{00000000-0004-0000-0200-0000C3020000}"/>
    <hyperlink ref="S548" r:id="rId709" xr:uid="{00000000-0004-0000-0200-0000C4020000}"/>
    <hyperlink ref="F549" r:id="rId710" xr:uid="{00000000-0004-0000-0200-0000C5020000}"/>
    <hyperlink ref="S549" r:id="rId711" xr:uid="{00000000-0004-0000-0200-0000C6020000}"/>
    <hyperlink ref="F551" r:id="rId712" location="click=https://t.co/Om5K1PaIpV" xr:uid="{00000000-0004-0000-0200-0000C7020000}"/>
    <hyperlink ref="S551" r:id="rId713" xr:uid="{00000000-0004-0000-0200-0000C8020000}"/>
    <hyperlink ref="F552" r:id="rId714" xr:uid="{00000000-0004-0000-0200-0000C9020000}"/>
    <hyperlink ref="F554" r:id="rId715" xr:uid="{00000000-0004-0000-0200-0000CA020000}"/>
    <hyperlink ref="G554" r:id="rId716" xr:uid="{00000000-0004-0000-0200-0000CB020000}"/>
    <hyperlink ref="S554" r:id="rId717" xr:uid="{00000000-0004-0000-0200-0000CC020000}"/>
    <hyperlink ref="F556" r:id="rId718" xr:uid="{00000000-0004-0000-0200-0000CD020000}"/>
    <hyperlink ref="S556" r:id="rId719" xr:uid="{00000000-0004-0000-0200-0000CE020000}"/>
    <hyperlink ref="F558" r:id="rId720" xr:uid="{00000000-0004-0000-0200-0000CF020000}"/>
    <hyperlink ref="F559" r:id="rId721" xr:uid="{00000000-0004-0000-0200-0000D0020000}"/>
    <hyperlink ref="F560" r:id="rId722" xr:uid="{00000000-0004-0000-0200-0000D1020000}"/>
    <hyperlink ref="G560" r:id="rId723" xr:uid="{00000000-0004-0000-0200-0000D2020000}"/>
    <hyperlink ref="S560" r:id="rId724" xr:uid="{00000000-0004-0000-0200-0000D3020000}"/>
    <hyperlink ref="F561" r:id="rId725" xr:uid="{00000000-0004-0000-0200-0000D4020000}"/>
    <hyperlink ref="G561" r:id="rId726" xr:uid="{00000000-0004-0000-0200-0000D5020000}"/>
    <hyperlink ref="F562" r:id="rId727" xr:uid="{00000000-0004-0000-0200-0000D6020000}"/>
    <hyperlink ref="S562" r:id="rId728" xr:uid="{00000000-0004-0000-0200-0000D7020000}"/>
    <hyperlink ref="F563" r:id="rId729" xr:uid="{00000000-0004-0000-0200-0000D8020000}"/>
    <hyperlink ref="F564" r:id="rId730" xr:uid="{00000000-0004-0000-0200-0000D9020000}"/>
    <hyperlink ref="G565" r:id="rId731" xr:uid="{00000000-0004-0000-0200-0000DA020000}"/>
    <hyperlink ref="S565" r:id="rId732" xr:uid="{00000000-0004-0000-0200-0000DB020000}"/>
    <hyperlink ref="F566" r:id="rId733" xr:uid="{00000000-0004-0000-0200-0000DC020000}"/>
    <hyperlink ref="F567" r:id="rId734" xr:uid="{00000000-0004-0000-0200-0000DD020000}"/>
    <hyperlink ref="S567" r:id="rId735" xr:uid="{00000000-0004-0000-0200-0000DE020000}"/>
    <hyperlink ref="F569" r:id="rId736" xr:uid="{00000000-0004-0000-0200-0000DF020000}"/>
    <hyperlink ref="S569" r:id="rId737" xr:uid="{00000000-0004-0000-0200-0000E0020000}"/>
    <hyperlink ref="F570" r:id="rId738" xr:uid="{00000000-0004-0000-0200-0000E1020000}"/>
    <hyperlink ref="S570" r:id="rId739" xr:uid="{00000000-0004-0000-0200-0000E2020000}"/>
    <hyperlink ref="F571" r:id="rId740" xr:uid="{00000000-0004-0000-0200-0000E3020000}"/>
    <hyperlink ref="F572" r:id="rId741" xr:uid="{00000000-0004-0000-0200-0000E4020000}"/>
    <hyperlink ref="F573" r:id="rId742" xr:uid="{00000000-0004-0000-0200-0000E5020000}"/>
    <hyperlink ref="F574" r:id="rId743" location="click=https://t.co/uS5c8s8E3V" xr:uid="{00000000-0004-0000-0200-0000E6020000}"/>
    <hyperlink ref="S577" r:id="rId744" xr:uid="{00000000-0004-0000-0200-0000E7020000}"/>
    <hyperlink ref="F578" r:id="rId745" xr:uid="{00000000-0004-0000-0200-0000E8020000}"/>
    <hyperlink ref="S578" r:id="rId746" xr:uid="{00000000-0004-0000-0200-0000E9020000}"/>
    <hyperlink ref="F579" r:id="rId747" xr:uid="{00000000-0004-0000-0200-0000EA020000}"/>
    <hyperlink ref="S579" r:id="rId748" xr:uid="{00000000-0004-0000-0200-0000EB020000}"/>
    <hyperlink ref="F580" r:id="rId749" xr:uid="{00000000-0004-0000-0200-0000EC020000}"/>
    <hyperlink ref="F581" r:id="rId750" xr:uid="{00000000-0004-0000-0200-0000ED020000}"/>
    <hyperlink ref="F582" r:id="rId751" xr:uid="{00000000-0004-0000-0200-0000EE020000}"/>
    <hyperlink ref="G583" r:id="rId752" xr:uid="{00000000-0004-0000-0200-0000EF020000}"/>
    <hyperlink ref="S583" r:id="rId753" xr:uid="{00000000-0004-0000-0200-0000F0020000}"/>
    <hyperlink ref="F584" r:id="rId754" xr:uid="{00000000-0004-0000-0200-0000F1020000}"/>
    <hyperlink ref="S584" r:id="rId755" xr:uid="{00000000-0004-0000-0200-0000F2020000}"/>
    <hyperlink ref="F586" r:id="rId756" xr:uid="{00000000-0004-0000-0200-0000F3020000}"/>
    <hyperlink ref="G586" r:id="rId757" xr:uid="{00000000-0004-0000-0200-0000F4020000}"/>
    <hyperlink ref="F587" r:id="rId758" xr:uid="{00000000-0004-0000-0200-0000F5020000}"/>
    <hyperlink ref="S587" r:id="rId759" xr:uid="{00000000-0004-0000-0200-0000F6020000}"/>
    <hyperlink ref="F589" r:id="rId760" xr:uid="{00000000-0004-0000-0200-0000F7020000}"/>
    <hyperlink ref="S589" r:id="rId761" xr:uid="{00000000-0004-0000-0200-0000F8020000}"/>
    <hyperlink ref="F592" r:id="rId762" xr:uid="{00000000-0004-0000-0200-0000F9020000}"/>
    <hyperlink ref="S592" r:id="rId763" xr:uid="{00000000-0004-0000-0200-0000FA020000}"/>
    <hyperlink ref="G593" r:id="rId764" xr:uid="{00000000-0004-0000-0200-0000FB020000}"/>
    <hyperlink ref="G594" r:id="rId765" xr:uid="{00000000-0004-0000-0200-0000FC020000}"/>
    <hyperlink ref="G595" r:id="rId766" xr:uid="{00000000-0004-0000-0200-0000FD020000}"/>
    <hyperlink ref="S595" r:id="rId767" xr:uid="{00000000-0004-0000-0200-0000FE020000}"/>
    <hyperlink ref="F596" r:id="rId768" xr:uid="{00000000-0004-0000-0200-0000FF020000}"/>
    <hyperlink ref="S596" r:id="rId769" xr:uid="{00000000-0004-0000-0200-000000030000}"/>
    <hyperlink ref="F597" r:id="rId770" xr:uid="{00000000-0004-0000-0200-000001030000}"/>
    <hyperlink ref="F598" r:id="rId771" xr:uid="{00000000-0004-0000-0200-000002030000}"/>
    <hyperlink ref="S598" r:id="rId772" xr:uid="{00000000-0004-0000-0200-000003030000}"/>
    <hyperlink ref="F599" r:id="rId773" xr:uid="{00000000-0004-0000-0200-000004030000}"/>
    <hyperlink ref="F600" r:id="rId774" xr:uid="{00000000-0004-0000-0200-000005030000}"/>
    <hyperlink ref="F601" r:id="rId775" xr:uid="{00000000-0004-0000-0200-000006030000}"/>
    <hyperlink ref="S601" r:id="rId776" xr:uid="{00000000-0004-0000-0200-000007030000}"/>
    <hyperlink ref="S602" r:id="rId777" xr:uid="{00000000-0004-0000-0200-000008030000}"/>
    <hyperlink ref="F604" r:id="rId778" xr:uid="{00000000-0004-0000-0200-000009030000}"/>
    <hyperlink ref="F605" r:id="rId779" xr:uid="{00000000-0004-0000-0200-00000A030000}"/>
    <hyperlink ref="F606" r:id="rId780" xr:uid="{00000000-0004-0000-0200-00000B030000}"/>
    <hyperlink ref="G606" r:id="rId781" xr:uid="{00000000-0004-0000-0200-00000C030000}"/>
    <hyperlink ref="S606" r:id="rId782" xr:uid="{00000000-0004-0000-0200-00000D030000}"/>
    <hyperlink ref="F607" r:id="rId783" xr:uid="{00000000-0004-0000-0200-00000E030000}"/>
    <hyperlink ref="F609" r:id="rId784" xr:uid="{00000000-0004-0000-0200-00000F030000}"/>
    <hyperlink ref="S609" r:id="rId785" xr:uid="{00000000-0004-0000-0200-000010030000}"/>
    <hyperlink ref="F610" r:id="rId786" xr:uid="{00000000-0004-0000-0200-000011030000}"/>
    <hyperlink ref="F612" r:id="rId787" xr:uid="{00000000-0004-0000-0200-000012030000}"/>
    <hyperlink ref="F614" r:id="rId788" xr:uid="{00000000-0004-0000-0200-000013030000}"/>
    <hyperlink ref="G614" r:id="rId789" xr:uid="{00000000-0004-0000-0200-000014030000}"/>
    <hyperlink ref="S614" r:id="rId790" xr:uid="{00000000-0004-0000-0200-000015030000}"/>
    <hyperlink ref="G615" r:id="rId791" xr:uid="{00000000-0004-0000-0200-000016030000}"/>
    <hyperlink ref="C616" r:id="rId792" xr:uid="{00000000-0004-0000-0200-000017030000}"/>
    <hyperlink ref="F616" r:id="rId793" xr:uid="{00000000-0004-0000-0200-000018030000}"/>
    <hyperlink ref="G616" r:id="rId794" xr:uid="{00000000-0004-0000-0200-000019030000}"/>
    <hyperlink ref="S616" r:id="rId795" xr:uid="{00000000-0004-0000-0200-00001A030000}"/>
    <hyperlink ref="F617" r:id="rId796" xr:uid="{00000000-0004-0000-0200-00001B030000}"/>
    <hyperlink ref="G618" r:id="rId797" xr:uid="{00000000-0004-0000-0200-00001C030000}"/>
    <hyperlink ref="S618" r:id="rId798" xr:uid="{00000000-0004-0000-0200-00001D030000}"/>
    <hyperlink ref="F619" r:id="rId799" xr:uid="{00000000-0004-0000-0200-00001E030000}"/>
    <hyperlink ref="F620" r:id="rId800" xr:uid="{00000000-0004-0000-0200-00001F030000}"/>
    <hyperlink ref="S620" r:id="rId801" xr:uid="{00000000-0004-0000-0200-000020030000}"/>
    <hyperlink ref="F621" r:id="rId802" xr:uid="{00000000-0004-0000-0200-000021030000}"/>
    <hyperlink ref="F622" r:id="rId803" xr:uid="{00000000-0004-0000-0200-000022030000}"/>
    <hyperlink ref="F623" r:id="rId804" xr:uid="{00000000-0004-0000-0200-000023030000}"/>
    <hyperlink ref="S629" r:id="rId805" xr:uid="{00000000-0004-0000-0200-000024030000}"/>
    <hyperlink ref="F630" r:id="rId806" xr:uid="{00000000-0004-0000-0200-000025030000}"/>
    <hyperlink ref="F631" r:id="rId807" xr:uid="{00000000-0004-0000-0200-000026030000}"/>
    <hyperlink ref="F632" r:id="rId808" xr:uid="{00000000-0004-0000-0200-000027030000}"/>
    <hyperlink ref="F633" r:id="rId809" xr:uid="{00000000-0004-0000-0200-000028030000}"/>
    <hyperlink ref="F634" r:id="rId810" xr:uid="{00000000-0004-0000-0200-000029030000}"/>
    <hyperlink ref="F635" r:id="rId811" xr:uid="{00000000-0004-0000-0200-00002A030000}"/>
    <hyperlink ref="S635" r:id="rId812" xr:uid="{00000000-0004-0000-0200-00002B030000}"/>
    <hyperlink ref="F636" r:id="rId813" xr:uid="{00000000-0004-0000-0200-00002C030000}"/>
    <hyperlink ref="G636" r:id="rId814" xr:uid="{00000000-0004-0000-0200-00002D030000}"/>
    <hyperlink ref="S636" r:id="rId815" xr:uid="{00000000-0004-0000-0200-00002E030000}"/>
    <hyperlink ref="F637" r:id="rId816" xr:uid="{00000000-0004-0000-0200-00002F030000}"/>
    <hyperlink ref="S637" r:id="rId817" xr:uid="{00000000-0004-0000-0200-000030030000}"/>
    <hyperlink ref="F638" r:id="rId818" xr:uid="{00000000-0004-0000-0200-000031030000}"/>
    <hyperlink ref="S638" r:id="rId819" xr:uid="{00000000-0004-0000-0200-000032030000}"/>
    <hyperlink ref="F639" r:id="rId820" xr:uid="{00000000-0004-0000-0200-000033030000}"/>
    <hyperlink ref="G639" r:id="rId821" xr:uid="{00000000-0004-0000-0200-000034030000}"/>
    <hyperlink ref="S639" r:id="rId822" xr:uid="{00000000-0004-0000-0200-000035030000}"/>
    <hyperlink ref="F641" r:id="rId823" xr:uid="{00000000-0004-0000-0200-000036030000}"/>
    <hyperlink ref="G641" r:id="rId824" xr:uid="{00000000-0004-0000-0200-000037030000}"/>
    <hyperlink ref="S641" r:id="rId825" xr:uid="{00000000-0004-0000-0200-000038030000}"/>
    <hyperlink ref="F642" r:id="rId826" xr:uid="{00000000-0004-0000-0200-000039030000}"/>
    <hyperlink ref="F643" r:id="rId827" xr:uid="{00000000-0004-0000-0200-00003A030000}"/>
    <hyperlink ref="G643" r:id="rId828" xr:uid="{00000000-0004-0000-0200-00003B030000}"/>
    <hyperlink ref="F644" r:id="rId829" xr:uid="{00000000-0004-0000-0200-00003C030000}"/>
    <hyperlink ref="S644" r:id="rId830" xr:uid="{00000000-0004-0000-0200-00003D030000}"/>
    <hyperlink ref="F645" r:id="rId831" xr:uid="{00000000-0004-0000-0200-00003E030000}"/>
    <hyperlink ref="G645" r:id="rId832" xr:uid="{00000000-0004-0000-0200-00003F030000}"/>
    <hyperlink ref="F646" r:id="rId833" xr:uid="{00000000-0004-0000-0200-000040030000}"/>
    <hyperlink ref="G646" r:id="rId834" xr:uid="{00000000-0004-0000-0200-000041030000}"/>
    <hyperlink ref="S646" r:id="rId835" xr:uid="{00000000-0004-0000-0200-000042030000}"/>
    <hyperlink ref="G647" r:id="rId836" xr:uid="{00000000-0004-0000-0200-000043030000}"/>
    <hyperlink ref="G649" r:id="rId837" xr:uid="{00000000-0004-0000-0200-000044030000}"/>
    <hyperlink ref="S649" r:id="rId838" xr:uid="{00000000-0004-0000-0200-000045030000}"/>
    <hyperlink ref="F650" r:id="rId839" xr:uid="{00000000-0004-0000-0200-000046030000}"/>
    <hyperlink ref="G650" r:id="rId840" xr:uid="{00000000-0004-0000-0200-000047030000}"/>
    <hyperlink ref="S650" r:id="rId841" xr:uid="{00000000-0004-0000-0200-000048030000}"/>
    <hyperlink ref="F651" r:id="rId842" xr:uid="{00000000-0004-0000-0200-000049030000}"/>
    <hyperlink ref="S651" r:id="rId843" xr:uid="{00000000-0004-0000-0200-00004A030000}"/>
    <hyperlink ref="G652" r:id="rId844" xr:uid="{00000000-0004-0000-0200-00004B030000}"/>
    <hyperlink ref="G654" r:id="rId845" xr:uid="{00000000-0004-0000-0200-00004C030000}"/>
    <hyperlink ref="F656" r:id="rId846" xr:uid="{00000000-0004-0000-0200-00004D030000}"/>
    <hyperlink ref="S656" r:id="rId847" xr:uid="{00000000-0004-0000-0200-00004E030000}"/>
    <hyperlink ref="F657" r:id="rId848" xr:uid="{00000000-0004-0000-0200-00004F030000}"/>
    <hyperlink ref="S657" r:id="rId849" xr:uid="{00000000-0004-0000-0200-000050030000}"/>
    <hyperlink ref="F658" r:id="rId850" xr:uid="{00000000-0004-0000-0200-000051030000}"/>
    <hyperlink ref="G658" r:id="rId851" xr:uid="{00000000-0004-0000-0200-000052030000}"/>
    <hyperlink ref="S658" r:id="rId852" xr:uid="{00000000-0004-0000-0200-000053030000}"/>
    <hyperlink ref="G661" r:id="rId853" xr:uid="{00000000-0004-0000-0200-000054030000}"/>
    <hyperlink ref="F664" r:id="rId854" xr:uid="{00000000-0004-0000-0200-000055030000}"/>
    <hyperlink ref="S664" r:id="rId855" xr:uid="{00000000-0004-0000-0200-000056030000}"/>
    <hyperlink ref="G666" r:id="rId856" xr:uid="{00000000-0004-0000-0200-000057030000}"/>
    <hyperlink ref="S666" r:id="rId857" xr:uid="{00000000-0004-0000-0200-000058030000}"/>
    <hyperlink ref="F667" r:id="rId858" xr:uid="{00000000-0004-0000-0200-000059030000}"/>
    <hyperlink ref="G667" r:id="rId859" xr:uid="{00000000-0004-0000-0200-00005A030000}"/>
    <hyperlink ref="S667" r:id="rId860" xr:uid="{00000000-0004-0000-0200-00005B030000}"/>
    <hyperlink ref="F668" r:id="rId861" xr:uid="{00000000-0004-0000-0200-00005C030000}"/>
    <hyperlink ref="F669" r:id="rId862" xr:uid="{00000000-0004-0000-0200-00005D030000}"/>
    <hyperlink ref="G669" r:id="rId863" xr:uid="{00000000-0004-0000-0200-00005E030000}"/>
    <hyperlink ref="S670" r:id="rId864" xr:uid="{00000000-0004-0000-0200-00005F030000}"/>
    <hyperlink ref="F671" r:id="rId865" xr:uid="{00000000-0004-0000-0200-000060030000}"/>
    <hyperlink ref="S671" r:id="rId866" xr:uid="{00000000-0004-0000-0200-000061030000}"/>
    <hyperlink ref="F672" r:id="rId867" xr:uid="{00000000-0004-0000-0200-000062030000}"/>
    <hyperlink ref="S672" r:id="rId868" xr:uid="{00000000-0004-0000-0200-000063030000}"/>
    <hyperlink ref="G673" r:id="rId869" xr:uid="{00000000-0004-0000-0200-000064030000}"/>
    <hyperlink ref="F674" r:id="rId870" xr:uid="{00000000-0004-0000-0200-000065030000}"/>
    <hyperlink ref="S674" r:id="rId871" xr:uid="{00000000-0004-0000-0200-000066030000}"/>
    <hyperlink ref="F675" r:id="rId872" xr:uid="{00000000-0004-0000-0200-000067030000}"/>
    <hyperlink ref="F676" r:id="rId873" xr:uid="{00000000-0004-0000-0200-000068030000}"/>
    <hyperlink ref="S676" r:id="rId874" xr:uid="{00000000-0004-0000-0200-000069030000}"/>
    <hyperlink ref="F677" r:id="rId875" xr:uid="{00000000-0004-0000-0200-00006A030000}"/>
    <hyperlink ref="S677" r:id="rId876" xr:uid="{00000000-0004-0000-0200-00006B030000}"/>
    <hyperlink ref="S678" r:id="rId877" xr:uid="{00000000-0004-0000-0200-00006C030000}"/>
    <hyperlink ref="S679" r:id="rId878" xr:uid="{00000000-0004-0000-0200-00006D030000}"/>
    <hyperlink ref="F681" r:id="rId879" xr:uid="{00000000-0004-0000-0200-00006E030000}"/>
    <hyperlink ref="F683" r:id="rId880" xr:uid="{00000000-0004-0000-0200-00006F030000}"/>
    <hyperlink ref="G683" r:id="rId881" xr:uid="{00000000-0004-0000-0200-000070030000}"/>
    <hyperlink ref="S684" r:id="rId882" xr:uid="{00000000-0004-0000-0200-000071030000}"/>
    <hyperlink ref="S685" r:id="rId883" xr:uid="{00000000-0004-0000-0200-000072030000}"/>
    <hyperlink ref="F686" r:id="rId884" xr:uid="{00000000-0004-0000-0200-000073030000}"/>
    <hyperlink ref="S686" r:id="rId885" xr:uid="{00000000-0004-0000-0200-000074030000}"/>
    <hyperlink ref="S687" r:id="rId886" xr:uid="{00000000-0004-0000-0200-000075030000}"/>
    <hyperlink ref="G688" r:id="rId887" xr:uid="{00000000-0004-0000-0200-000076030000}"/>
    <hyperlink ref="S688" r:id="rId888" xr:uid="{00000000-0004-0000-0200-000077030000}"/>
    <hyperlink ref="S690" r:id="rId889" xr:uid="{00000000-0004-0000-0200-000078030000}"/>
    <hyperlink ref="F692" r:id="rId890" xr:uid="{00000000-0004-0000-0200-000079030000}"/>
    <hyperlink ref="G692" r:id="rId891" xr:uid="{00000000-0004-0000-0200-00007A030000}"/>
    <hyperlink ref="S692" r:id="rId892" xr:uid="{00000000-0004-0000-0200-00007B030000}"/>
    <hyperlink ref="F694" r:id="rId893" xr:uid="{00000000-0004-0000-0200-00007C030000}"/>
    <hyperlink ref="F695" r:id="rId894" xr:uid="{00000000-0004-0000-0200-00007D030000}"/>
    <hyperlink ref="S699" r:id="rId895" xr:uid="{00000000-0004-0000-0200-00007E030000}"/>
    <hyperlink ref="S700" r:id="rId896" xr:uid="{00000000-0004-0000-0200-00007F030000}"/>
    <hyperlink ref="S701" r:id="rId897" xr:uid="{00000000-0004-0000-0200-000080030000}"/>
    <hyperlink ref="S702" r:id="rId898" xr:uid="{00000000-0004-0000-0200-000081030000}"/>
    <hyperlink ref="S703" r:id="rId899" xr:uid="{00000000-0004-0000-0200-000082030000}"/>
    <hyperlink ref="S704" r:id="rId900" xr:uid="{00000000-0004-0000-0200-000083030000}"/>
    <hyperlink ref="S706" r:id="rId901" xr:uid="{00000000-0004-0000-0200-000084030000}"/>
    <hyperlink ref="S707" r:id="rId902" xr:uid="{00000000-0004-0000-0200-000085030000}"/>
    <hyperlink ref="S708" r:id="rId903" xr:uid="{00000000-0004-0000-0200-000086030000}"/>
    <hyperlink ref="S711" r:id="rId904" xr:uid="{00000000-0004-0000-0200-000087030000}"/>
    <hyperlink ref="S712" r:id="rId905" xr:uid="{00000000-0004-0000-0200-000088030000}"/>
    <hyperlink ref="F714" r:id="rId906" xr:uid="{00000000-0004-0000-0200-000089030000}"/>
    <hyperlink ref="G714" r:id="rId907" xr:uid="{00000000-0004-0000-0200-00008A030000}"/>
    <hyperlink ref="S714" r:id="rId908" xr:uid="{00000000-0004-0000-0200-00008B030000}"/>
    <hyperlink ref="F716" r:id="rId909" xr:uid="{00000000-0004-0000-0200-00008C030000}"/>
    <hyperlink ref="S717" r:id="rId910" xr:uid="{00000000-0004-0000-0200-00008D030000}"/>
    <hyperlink ref="S719" r:id="rId911" xr:uid="{00000000-0004-0000-0200-00008E030000}"/>
    <hyperlink ref="F721" r:id="rId912" xr:uid="{00000000-0004-0000-0200-00008F030000}"/>
    <hyperlink ref="G721" r:id="rId913" xr:uid="{00000000-0004-0000-0200-000090030000}"/>
    <hyperlink ref="S721" r:id="rId914" xr:uid="{00000000-0004-0000-0200-000091030000}"/>
    <hyperlink ref="S723" r:id="rId915" xr:uid="{00000000-0004-0000-0200-000092030000}"/>
    <hyperlink ref="F724" r:id="rId916" xr:uid="{00000000-0004-0000-0200-000093030000}"/>
    <hyperlink ref="S724" r:id="rId917" xr:uid="{00000000-0004-0000-0200-000094030000}"/>
    <hyperlink ref="G725" r:id="rId918" xr:uid="{00000000-0004-0000-0200-000095030000}"/>
    <hyperlink ref="F726" r:id="rId919" location="?ref=rss&amp;format=simple&amp;link=link" xr:uid="{00000000-0004-0000-0200-000096030000}"/>
    <hyperlink ref="S726" r:id="rId920" xr:uid="{00000000-0004-0000-0200-000097030000}"/>
    <hyperlink ref="G727" r:id="rId921" xr:uid="{00000000-0004-0000-0200-000098030000}"/>
    <hyperlink ref="S727" r:id="rId922" xr:uid="{00000000-0004-0000-0200-000099030000}"/>
    <hyperlink ref="F728" r:id="rId923" xr:uid="{00000000-0004-0000-0200-00009A030000}"/>
    <hyperlink ref="G728" r:id="rId924" xr:uid="{00000000-0004-0000-0200-00009B030000}"/>
    <hyperlink ref="S728" r:id="rId925" xr:uid="{00000000-0004-0000-0200-00009C030000}"/>
    <hyperlink ref="F729" r:id="rId926" xr:uid="{00000000-0004-0000-0200-00009D030000}"/>
    <hyperlink ref="F730" r:id="rId927" location=".W_ZhMgXw-Ao.twitter" xr:uid="{00000000-0004-0000-0200-00009E030000}"/>
    <hyperlink ref="F731" r:id="rId928" xr:uid="{00000000-0004-0000-0200-00009F030000}"/>
    <hyperlink ref="G731" r:id="rId929" xr:uid="{00000000-0004-0000-0200-0000A0030000}"/>
    <hyperlink ref="C734" r:id="rId930" xr:uid="{00000000-0004-0000-0200-0000A1030000}"/>
    <hyperlink ref="F734" r:id="rId931" xr:uid="{00000000-0004-0000-0200-0000A2030000}"/>
    <hyperlink ref="G734" r:id="rId932" xr:uid="{00000000-0004-0000-0200-0000A3030000}"/>
    <hyperlink ref="S734" r:id="rId933" xr:uid="{00000000-0004-0000-0200-0000A4030000}"/>
    <hyperlink ref="S735" r:id="rId934" xr:uid="{00000000-0004-0000-0200-0000A5030000}"/>
    <hyperlink ref="F736" r:id="rId935" location=".W_ZMVgVNOGA.twitter" xr:uid="{00000000-0004-0000-0200-0000A6030000}"/>
    <hyperlink ref="S736" r:id="rId936" xr:uid="{00000000-0004-0000-0200-0000A7030000}"/>
    <hyperlink ref="F737" r:id="rId937" xr:uid="{00000000-0004-0000-0200-0000A8030000}"/>
    <hyperlink ref="S737" r:id="rId938" xr:uid="{00000000-0004-0000-0200-0000A9030000}"/>
    <hyperlink ref="C738" r:id="rId939" xr:uid="{00000000-0004-0000-0200-0000AA030000}"/>
    <hyperlink ref="F738" r:id="rId940" xr:uid="{00000000-0004-0000-0200-0000AB030000}"/>
    <hyperlink ref="S738" r:id="rId941" xr:uid="{00000000-0004-0000-0200-0000AC030000}"/>
    <hyperlink ref="G739" r:id="rId942" xr:uid="{00000000-0004-0000-0200-0000AD030000}"/>
    <hyperlink ref="S739" r:id="rId943" xr:uid="{00000000-0004-0000-0200-0000AE030000}"/>
    <hyperlink ref="F740" r:id="rId944" xr:uid="{00000000-0004-0000-0200-0000AF030000}"/>
    <hyperlink ref="S740" r:id="rId945" xr:uid="{00000000-0004-0000-0200-0000B0030000}"/>
    <hyperlink ref="F741" r:id="rId946" xr:uid="{00000000-0004-0000-0200-0000B1030000}"/>
    <hyperlink ref="G741" r:id="rId947" xr:uid="{00000000-0004-0000-0200-0000B2030000}"/>
    <hyperlink ref="F742" r:id="rId948" xr:uid="{00000000-0004-0000-0200-0000B3030000}"/>
    <hyperlink ref="G742" r:id="rId949" xr:uid="{00000000-0004-0000-0200-0000B4030000}"/>
    <hyperlink ref="S742" r:id="rId950" xr:uid="{00000000-0004-0000-0200-0000B5030000}"/>
    <hyperlink ref="F743" r:id="rId951" xr:uid="{00000000-0004-0000-0200-0000B6030000}"/>
    <hyperlink ref="F744" r:id="rId952" xr:uid="{00000000-0004-0000-0200-0000B7030000}"/>
    <hyperlink ref="F745" r:id="rId953" xr:uid="{00000000-0004-0000-0200-0000B8030000}"/>
    <hyperlink ref="S745" r:id="rId954" xr:uid="{00000000-0004-0000-0200-0000B9030000}"/>
    <hyperlink ref="F747" r:id="rId955" xr:uid="{00000000-0004-0000-0200-0000BA030000}"/>
    <hyperlink ref="F748" r:id="rId956" xr:uid="{00000000-0004-0000-0200-0000BB030000}"/>
    <hyperlink ref="F749" r:id="rId957" xr:uid="{00000000-0004-0000-0200-0000BC030000}"/>
    <hyperlink ref="F750" r:id="rId958" xr:uid="{00000000-0004-0000-0200-0000BD030000}"/>
    <hyperlink ref="F751" r:id="rId959" xr:uid="{00000000-0004-0000-0200-0000BE030000}"/>
    <hyperlink ref="F752" r:id="rId960" xr:uid="{00000000-0004-0000-0200-0000BF030000}"/>
    <hyperlink ref="F753" r:id="rId961" xr:uid="{00000000-0004-0000-0200-0000C0030000}"/>
    <hyperlink ref="S753" r:id="rId962" xr:uid="{00000000-0004-0000-0200-0000C1030000}"/>
    <hyperlink ref="S754" r:id="rId963" xr:uid="{00000000-0004-0000-0200-0000C2030000}"/>
    <hyperlink ref="F756" r:id="rId964" xr:uid="{00000000-0004-0000-0200-0000C3030000}"/>
    <hyperlink ref="F758" r:id="rId965" xr:uid="{00000000-0004-0000-0200-0000C4030000}"/>
    <hyperlink ref="S758" r:id="rId966" xr:uid="{00000000-0004-0000-0200-0000C5030000}"/>
    <hyperlink ref="F760" r:id="rId967" xr:uid="{00000000-0004-0000-0200-0000C6030000}"/>
    <hyperlink ref="F761" r:id="rId968" xr:uid="{00000000-0004-0000-0200-0000C7030000}"/>
    <hyperlink ref="S761" r:id="rId969" xr:uid="{00000000-0004-0000-0200-0000C8030000}"/>
    <hyperlink ref="F762" r:id="rId970" xr:uid="{00000000-0004-0000-0200-0000C9030000}"/>
    <hyperlink ref="F763" r:id="rId971" xr:uid="{00000000-0004-0000-0200-0000CA030000}"/>
    <hyperlink ref="F766" r:id="rId972" xr:uid="{00000000-0004-0000-0200-0000CB030000}"/>
    <hyperlink ref="S766" r:id="rId973" xr:uid="{00000000-0004-0000-0200-0000CC030000}"/>
    <hyperlink ref="F767" r:id="rId974" xr:uid="{00000000-0004-0000-0200-0000CD030000}"/>
    <hyperlink ref="S768" r:id="rId975" xr:uid="{00000000-0004-0000-0200-0000CE030000}"/>
    <hyperlink ref="S769" r:id="rId976" xr:uid="{00000000-0004-0000-0200-0000CF030000}"/>
    <hyperlink ref="F771" r:id="rId977" xr:uid="{00000000-0004-0000-0200-0000D0030000}"/>
    <hyperlink ref="S771" r:id="rId978" xr:uid="{00000000-0004-0000-0200-0000D1030000}"/>
    <hyperlink ref="F772" r:id="rId979" xr:uid="{00000000-0004-0000-0200-0000D2030000}"/>
    <hyperlink ref="G772" r:id="rId980" xr:uid="{00000000-0004-0000-0200-0000D3030000}"/>
    <hyperlink ref="S772" r:id="rId981" xr:uid="{00000000-0004-0000-0200-0000D4030000}"/>
    <hyperlink ref="F773" r:id="rId982" xr:uid="{00000000-0004-0000-0200-0000D5030000}"/>
    <hyperlink ref="S774" r:id="rId983" xr:uid="{00000000-0004-0000-0200-0000D6030000}"/>
    <hyperlink ref="F775" r:id="rId984" xr:uid="{00000000-0004-0000-0200-0000D7030000}"/>
    <hyperlink ref="G775" r:id="rId985" xr:uid="{00000000-0004-0000-0200-0000D8030000}"/>
    <hyperlink ref="S775" r:id="rId986" xr:uid="{00000000-0004-0000-0200-0000D9030000}"/>
    <hyperlink ref="F776" r:id="rId987" xr:uid="{00000000-0004-0000-0200-0000DA030000}"/>
    <hyperlink ref="G778" r:id="rId988" xr:uid="{00000000-0004-0000-0200-0000DB030000}"/>
    <hyperlink ref="F779" r:id="rId989" xr:uid="{00000000-0004-0000-0200-0000DC030000}"/>
    <hyperlink ref="F782" r:id="rId990" xr:uid="{00000000-0004-0000-0200-0000DD030000}"/>
    <hyperlink ref="F783" r:id="rId991" xr:uid="{00000000-0004-0000-0200-0000DE030000}"/>
    <hyperlink ref="Q784" r:id="rId992" xr:uid="{00000000-0004-0000-0200-0000DF030000}"/>
    <hyperlink ref="S784" r:id="rId993" xr:uid="{00000000-0004-0000-0200-0000E0030000}"/>
    <hyperlink ref="F785" r:id="rId994" xr:uid="{00000000-0004-0000-0200-0000E1030000}"/>
    <hyperlink ref="F787" r:id="rId995" xr:uid="{00000000-0004-0000-0200-0000E2030000}"/>
    <hyperlink ref="F788" r:id="rId996" xr:uid="{00000000-0004-0000-0200-0000E3030000}"/>
    <hyperlink ref="F789" r:id="rId997" xr:uid="{00000000-0004-0000-0200-0000E4030000}"/>
    <hyperlink ref="F790" r:id="rId998" location="comentarios1276628638" xr:uid="{00000000-0004-0000-0200-0000E5030000}"/>
    <hyperlink ref="F791" r:id="rId999" xr:uid="{00000000-0004-0000-0200-0000E6030000}"/>
    <hyperlink ref="F792" r:id="rId1000" xr:uid="{00000000-0004-0000-0200-0000E7030000}"/>
    <hyperlink ref="F793" r:id="rId1001" xr:uid="{00000000-0004-0000-0200-0000E8030000}"/>
    <hyperlink ref="F794" r:id="rId1002" xr:uid="{00000000-0004-0000-0200-0000E9030000}"/>
    <hyperlink ref="F795" r:id="rId1003" xr:uid="{00000000-0004-0000-0200-0000EA030000}"/>
    <hyperlink ref="G796" r:id="rId1004" xr:uid="{00000000-0004-0000-0200-0000EB030000}"/>
    <hyperlink ref="S796" r:id="rId1005" xr:uid="{00000000-0004-0000-0200-0000EC030000}"/>
    <hyperlink ref="F798" r:id="rId1006" xr:uid="{00000000-0004-0000-0200-0000ED030000}"/>
    <hyperlink ref="S798" r:id="rId1007" xr:uid="{00000000-0004-0000-0200-0000EE030000}"/>
    <hyperlink ref="G799" r:id="rId1008" xr:uid="{00000000-0004-0000-0200-0000EF030000}"/>
    <hyperlink ref="F800" r:id="rId1009" xr:uid="{00000000-0004-0000-0200-0000F0030000}"/>
    <hyperlink ref="S800" r:id="rId1010" xr:uid="{00000000-0004-0000-0200-0000F1030000}"/>
    <hyperlink ref="F801" r:id="rId1011" xr:uid="{00000000-0004-0000-0200-0000F2030000}"/>
    <hyperlink ref="S801" r:id="rId1012" xr:uid="{00000000-0004-0000-0200-0000F3030000}"/>
    <hyperlink ref="F802" r:id="rId1013" xr:uid="{00000000-0004-0000-0200-0000F4030000}"/>
    <hyperlink ref="G806" r:id="rId1014" xr:uid="{00000000-0004-0000-0200-0000F5030000}"/>
    <hyperlink ref="S806" r:id="rId1015" xr:uid="{00000000-0004-0000-0200-0000F6030000}"/>
    <hyperlink ref="F808" r:id="rId1016" xr:uid="{00000000-0004-0000-0200-0000F7030000}"/>
    <hyperlink ref="G809" r:id="rId1017" xr:uid="{00000000-0004-0000-0200-0000F8030000}"/>
    <hyperlink ref="S809" r:id="rId1018" xr:uid="{00000000-0004-0000-0200-0000F9030000}"/>
    <hyperlink ref="F810" r:id="rId1019" xr:uid="{00000000-0004-0000-0200-0000FA030000}"/>
    <hyperlink ref="G810" r:id="rId1020" xr:uid="{00000000-0004-0000-0200-0000FB030000}"/>
    <hyperlink ref="G811" r:id="rId1021" xr:uid="{00000000-0004-0000-0200-0000FC030000}"/>
    <hyperlink ref="F814" r:id="rId1022" xr:uid="{00000000-0004-0000-0200-0000FD030000}"/>
    <hyperlink ref="F815" r:id="rId1023" xr:uid="{00000000-0004-0000-0200-0000FE030000}"/>
    <hyperlink ref="F817" r:id="rId1024" xr:uid="{00000000-0004-0000-0200-0000FF030000}"/>
    <hyperlink ref="S817" r:id="rId1025" xr:uid="{00000000-0004-0000-0200-000000040000}"/>
    <hyperlink ref="S818" r:id="rId1026" xr:uid="{00000000-0004-0000-0200-000001040000}"/>
    <hyperlink ref="G819" r:id="rId1027" xr:uid="{00000000-0004-0000-0200-000002040000}"/>
    <hyperlink ref="F820" r:id="rId1028" xr:uid="{00000000-0004-0000-0200-000003040000}"/>
    <hyperlink ref="S821" r:id="rId1029" xr:uid="{00000000-0004-0000-0200-000004040000}"/>
    <hyperlink ref="F822" r:id="rId1030" xr:uid="{00000000-0004-0000-0200-000005040000}"/>
    <hyperlink ref="F825" r:id="rId1031" xr:uid="{00000000-0004-0000-0200-000006040000}"/>
    <hyperlink ref="F826" r:id="rId1032" xr:uid="{00000000-0004-0000-0200-000007040000}"/>
    <hyperlink ref="F827" r:id="rId1033" xr:uid="{00000000-0004-0000-0200-000008040000}"/>
    <hyperlink ref="S827" r:id="rId1034" xr:uid="{00000000-0004-0000-0200-000009040000}"/>
    <hyperlink ref="F828" r:id="rId1035" xr:uid="{00000000-0004-0000-0200-00000A040000}"/>
    <hyperlink ref="S828" r:id="rId1036" xr:uid="{00000000-0004-0000-0200-00000B040000}"/>
    <hyperlink ref="F829" r:id="rId1037" xr:uid="{00000000-0004-0000-0200-00000C040000}"/>
    <hyperlink ref="G829" r:id="rId1038" xr:uid="{00000000-0004-0000-0200-00000D040000}"/>
    <hyperlink ref="S829" r:id="rId1039" xr:uid="{00000000-0004-0000-0200-00000E040000}"/>
    <hyperlink ref="G830" r:id="rId1040" xr:uid="{00000000-0004-0000-0200-00000F040000}"/>
    <hyperlink ref="F831" r:id="rId1041" xr:uid="{00000000-0004-0000-0200-000010040000}"/>
    <hyperlink ref="S831" r:id="rId1042" xr:uid="{00000000-0004-0000-0200-000011040000}"/>
    <hyperlink ref="S832" r:id="rId1043" xr:uid="{00000000-0004-0000-0200-000012040000}"/>
    <hyperlink ref="G834" r:id="rId1044" xr:uid="{00000000-0004-0000-0200-000013040000}"/>
    <hyperlink ref="S834" r:id="rId1045" xr:uid="{00000000-0004-0000-0200-000014040000}"/>
    <hyperlink ref="F837" r:id="rId1046" xr:uid="{00000000-0004-0000-0200-000015040000}"/>
    <hyperlink ref="S837" r:id="rId1047" xr:uid="{00000000-0004-0000-0200-000016040000}"/>
    <hyperlink ref="F838" r:id="rId1048" xr:uid="{00000000-0004-0000-0200-000017040000}"/>
    <hyperlink ref="G838" r:id="rId1049" xr:uid="{00000000-0004-0000-0200-000018040000}"/>
    <hyperlink ref="F841" r:id="rId1050" xr:uid="{00000000-0004-0000-0200-000019040000}"/>
    <hyperlink ref="F843" r:id="rId1051" xr:uid="{00000000-0004-0000-0200-00001A040000}"/>
    <hyperlink ref="G846" r:id="rId1052" xr:uid="{00000000-0004-0000-0200-00001B040000}"/>
    <hyperlink ref="S847" r:id="rId1053" xr:uid="{00000000-0004-0000-0200-00001C040000}"/>
    <hyperlink ref="G848" r:id="rId1054" xr:uid="{00000000-0004-0000-0200-00001D040000}"/>
    <hyperlink ref="G849" r:id="rId1055" xr:uid="{00000000-0004-0000-0200-00001E040000}"/>
    <hyperlink ref="S849" r:id="rId1056" xr:uid="{00000000-0004-0000-0200-00001F040000}"/>
    <hyperlink ref="F850" r:id="rId1057" xr:uid="{00000000-0004-0000-0200-000020040000}"/>
    <hyperlink ref="G850" r:id="rId1058" xr:uid="{00000000-0004-0000-0200-000021040000}"/>
    <hyperlink ref="F851" r:id="rId1059" xr:uid="{00000000-0004-0000-0200-000022040000}"/>
    <hyperlink ref="F852" r:id="rId1060" xr:uid="{00000000-0004-0000-0200-000023040000}"/>
    <hyperlink ref="G852" r:id="rId1061" xr:uid="{00000000-0004-0000-0200-000024040000}"/>
    <hyperlink ref="C853" r:id="rId1062" xr:uid="{00000000-0004-0000-0200-000025040000}"/>
    <hyperlink ref="F853" r:id="rId1063" xr:uid="{00000000-0004-0000-0200-000026040000}"/>
    <hyperlink ref="S853" r:id="rId1064" xr:uid="{00000000-0004-0000-0200-000027040000}"/>
    <hyperlink ref="G854" r:id="rId1065" xr:uid="{00000000-0004-0000-0200-000028040000}"/>
    <hyperlink ref="F855" r:id="rId1066" xr:uid="{00000000-0004-0000-0200-000029040000}"/>
    <hyperlink ref="S855" r:id="rId1067" xr:uid="{00000000-0004-0000-0200-00002A040000}"/>
    <hyperlink ref="F857" r:id="rId1068" xr:uid="{00000000-0004-0000-0200-00002B040000}"/>
    <hyperlink ref="S857" r:id="rId1069" xr:uid="{00000000-0004-0000-0200-00002C040000}"/>
    <hyperlink ref="F858" r:id="rId1070" xr:uid="{00000000-0004-0000-0200-00002D040000}"/>
    <hyperlink ref="S858" r:id="rId1071" xr:uid="{00000000-0004-0000-0200-00002E040000}"/>
    <hyperlink ref="F859" r:id="rId1072" xr:uid="{00000000-0004-0000-0200-00002F040000}"/>
    <hyperlink ref="F860" r:id="rId1073" location=".W_WTHPQCwFs.twitter" xr:uid="{00000000-0004-0000-0200-000030040000}"/>
    <hyperlink ref="G861" r:id="rId1074" xr:uid="{00000000-0004-0000-0200-000031040000}"/>
    <hyperlink ref="S861" r:id="rId1075" xr:uid="{00000000-0004-0000-0200-000032040000}"/>
    <hyperlink ref="G862" r:id="rId1076" xr:uid="{00000000-0004-0000-0200-000033040000}"/>
    <hyperlink ref="S862" r:id="rId1077" xr:uid="{00000000-0004-0000-0200-000034040000}"/>
    <hyperlink ref="F863" r:id="rId1078" xr:uid="{00000000-0004-0000-0200-000035040000}"/>
    <hyperlink ref="F864" r:id="rId1079" xr:uid="{00000000-0004-0000-0200-000036040000}"/>
    <hyperlink ref="G864" r:id="rId1080" xr:uid="{00000000-0004-0000-0200-000037040000}"/>
    <hyperlink ref="S864" r:id="rId1081" xr:uid="{00000000-0004-0000-0200-000038040000}"/>
    <hyperlink ref="F866" r:id="rId1082" xr:uid="{00000000-0004-0000-0200-000039040000}"/>
    <hyperlink ref="G866" r:id="rId1083" xr:uid="{00000000-0004-0000-0200-00003A040000}"/>
    <hyperlink ref="S866" r:id="rId1084" xr:uid="{00000000-0004-0000-0200-00003B040000}"/>
    <hyperlink ref="F867" r:id="rId1085" xr:uid="{00000000-0004-0000-0200-00003C040000}"/>
    <hyperlink ref="S867" r:id="rId1086" xr:uid="{00000000-0004-0000-0200-00003D040000}"/>
    <hyperlink ref="G868" r:id="rId1087" xr:uid="{00000000-0004-0000-0200-00003E040000}"/>
    <hyperlink ref="F869" r:id="rId1088" xr:uid="{00000000-0004-0000-0200-00003F040000}"/>
    <hyperlink ref="F870" r:id="rId1089" xr:uid="{00000000-0004-0000-0200-000040040000}"/>
    <hyperlink ref="G870" r:id="rId1090" xr:uid="{00000000-0004-0000-0200-000041040000}"/>
    <hyperlink ref="S870" r:id="rId1091" xr:uid="{00000000-0004-0000-0200-000042040000}"/>
    <hyperlink ref="S871" r:id="rId1092" xr:uid="{00000000-0004-0000-0200-000043040000}"/>
    <hyperlink ref="S872" r:id="rId1093" xr:uid="{00000000-0004-0000-0200-000044040000}"/>
    <hyperlink ref="F873" r:id="rId1094" xr:uid="{00000000-0004-0000-0200-000045040000}"/>
    <hyperlink ref="G873" r:id="rId1095" xr:uid="{00000000-0004-0000-0200-000046040000}"/>
    <hyperlink ref="S873" r:id="rId1096" xr:uid="{00000000-0004-0000-0200-000047040000}"/>
    <hyperlink ref="F874" r:id="rId1097" xr:uid="{00000000-0004-0000-0200-000048040000}"/>
    <hyperlink ref="F875" r:id="rId1098" xr:uid="{00000000-0004-0000-0200-000049040000}"/>
    <hyperlink ref="F876" r:id="rId1099" xr:uid="{00000000-0004-0000-0200-00004A040000}"/>
    <hyperlink ref="S876" r:id="rId1100" xr:uid="{00000000-0004-0000-0200-00004B040000}"/>
    <hyperlink ref="G877" r:id="rId1101" xr:uid="{00000000-0004-0000-0200-00004C040000}"/>
    <hyperlink ref="C878" r:id="rId1102" xr:uid="{00000000-0004-0000-0200-00004D040000}"/>
    <hyperlink ref="F878" r:id="rId1103" xr:uid="{00000000-0004-0000-0200-00004E040000}"/>
    <hyperlink ref="S878" r:id="rId1104" xr:uid="{00000000-0004-0000-0200-00004F040000}"/>
    <hyperlink ref="F879" r:id="rId1105" xr:uid="{00000000-0004-0000-0200-000050040000}"/>
    <hyperlink ref="S879" r:id="rId1106" xr:uid="{00000000-0004-0000-0200-000051040000}"/>
    <hyperlink ref="F882" r:id="rId1107" xr:uid="{00000000-0004-0000-0200-000052040000}"/>
    <hyperlink ref="G883" r:id="rId1108" xr:uid="{00000000-0004-0000-0200-000053040000}"/>
    <hyperlink ref="F884" r:id="rId1109" xr:uid="{00000000-0004-0000-0200-000054040000}"/>
    <hyperlink ref="G886" r:id="rId1110" xr:uid="{00000000-0004-0000-0200-000055040000}"/>
    <hyperlink ref="S886" r:id="rId1111" xr:uid="{00000000-0004-0000-0200-000056040000}"/>
    <hyperlink ref="F887" r:id="rId1112" xr:uid="{00000000-0004-0000-0200-000057040000}"/>
    <hyperlink ref="F888" r:id="rId1113" xr:uid="{00000000-0004-0000-0200-000058040000}"/>
    <hyperlink ref="G888" r:id="rId1114" xr:uid="{00000000-0004-0000-0200-000059040000}"/>
    <hyperlink ref="S888" r:id="rId1115" xr:uid="{00000000-0004-0000-0200-00005A040000}"/>
    <hyperlink ref="F889" r:id="rId1116" xr:uid="{00000000-0004-0000-0200-00005B040000}"/>
    <hyperlink ref="S889" r:id="rId1117" xr:uid="{00000000-0004-0000-0200-00005C040000}"/>
    <hyperlink ref="F893" r:id="rId1118" xr:uid="{00000000-0004-0000-0200-00005D040000}"/>
    <hyperlink ref="F894" r:id="rId1119" xr:uid="{00000000-0004-0000-0200-00005E040000}"/>
    <hyperlink ref="G895" r:id="rId1120" xr:uid="{00000000-0004-0000-0200-00005F040000}"/>
    <hyperlink ref="S895" r:id="rId1121" xr:uid="{00000000-0004-0000-0200-000060040000}"/>
    <hyperlink ref="F896" r:id="rId1122" xr:uid="{00000000-0004-0000-0200-000061040000}"/>
    <hyperlink ref="S896" r:id="rId1123" xr:uid="{00000000-0004-0000-0200-000062040000}"/>
    <hyperlink ref="F897" r:id="rId1124" xr:uid="{00000000-0004-0000-0200-000063040000}"/>
    <hyperlink ref="S898" r:id="rId1125" xr:uid="{00000000-0004-0000-0200-000064040000}"/>
    <hyperlink ref="G900" r:id="rId1126" xr:uid="{00000000-0004-0000-0200-000065040000}"/>
    <hyperlink ref="F901" r:id="rId1127" xr:uid="{00000000-0004-0000-0200-000066040000}"/>
    <hyperlink ref="F902" r:id="rId1128" xr:uid="{00000000-0004-0000-0200-000067040000}"/>
    <hyperlink ref="F903" r:id="rId1129" xr:uid="{00000000-0004-0000-0200-000068040000}"/>
    <hyperlink ref="F904" r:id="rId1130" xr:uid="{00000000-0004-0000-0200-000069040000}"/>
    <hyperlink ref="F908" r:id="rId1131" xr:uid="{00000000-0004-0000-0200-00006A040000}"/>
    <hyperlink ref="S908" r:id="rId1132" xr:uid="{00000000-0004-0000-0200-00006B040000}"/>
    <hyperlink ref="F909" r:id="rId1133" xr:uid="{00000000-0004-0000-0200-00006C040000}"/>
    <hyperlink ref="F910" r:id="rId1134" xr:uid="{00000000-0004-0000-0200-00006D040000}"/>
    <hyperlink ref="F911" r:id="rId1135" location=".W_VdLuR2cKQ.twitter" xr:uid="{00000000-0004-0000-0200-00006E040000}"/>
    <hyperlink ref="F912" r:id="rId1136" location=".W_VdIDKAkpE.twitter" xr:uid="{00000000-0004-0000-0200-00006F040000}"/>
    <hyperlink ref="F913" r:id="rId1137" xr:uid="{00000000-0004-0000-0200-000070040000}"/>
    <hyperlink ref="S913" r:id="rId1138" xr:uid="{00000000-0004-0000-0200-000071040000}"/>
    <hyperlink ref="S914" r:id="rId1139" xr:uid="{00000000-0004-0000-0200-000072040000}"/>
    <hyperlink ref="F915" r:id="rId1140" xr:uid="{00000000-0004-0000-0200-000073040000}"/>
    <hyperlink ref="S915" r:id="rId1141" xr:uid="{00000000-0004-0000-0200-000074040000}"/>
    <hyperlink ref="F916" r:id="rId1142" xr:uid="{00000000-0004-0000-0200-000075040000}"/>
    <hyperlink ref="S916" r:id="rId1143" xr:uid="{00000000-0004-0000-0200-000076040000}"/>
    <hyperlink ref="F917" r:id="rId1144" xr:uid="{00000000-0004-0000-0200-000077040000}"/>
    <hyperlink ref="F918" r:id="rId1145" xr:uid="{00000000-0004-0000-0200-000078040000}"/>
    <hyperlink ref="G918" r:id="rId1146" xr:uid="{00000000-0004-0000-0200-000079040000}"/>
    <hyperlink ref="S918" r:id="rId1147" xr:uid="{00000000-0004-0000-0200-00007A040000}"/>
    <hyperlink ref="F919" r:id="rId1148" xr:uid="{00000000-0004-0000-0200-00007B040000}"/>
    <hyperlink ref="S919" r:id="rId1149" xr:uid="{00000000-0004-0000-0200-00007C040000}"/>
    <hyperlink ref="G920" r:id="rId1150" xr:uid="{00000000-0004-0000-0200-00007D040000}"/>
    <hyperlink ref="G921" r:id="rId1151" xr:uid="{00000000-0004-0000-0200-00007E040000}"/>
    <hyperlink ref="S921" r:id="rId1152" xr:uid="{00000000-0004-0000-0200-00007F040000}"/>
    <hyperlink ref="F923" r:id="rId1153" xr:uid="{00000000-0004-0000-0200-000080040000}"/>
    <hyperlink ref="S923" r:id="rId1154" xr:uid="{00000000-0004-0000-0200-000081040000}"/>
    <hyperlink ref="G924" r:id="rId1155" xr:uid="{00000000-0004-0000-0200-000082040000}"/>
    <hyperlink ref="F926" r:id="rId1156" xr:uid="{00000000-0004-0000-0200-000083040000}"/>
    <hyperlink ref="S926" r:id="rId1157" xr:uid="{00000000-0004-0000-0200-000084040000}"/>
    <hyperlink ref="F928" r:id="rId1158" xr:uid="{00000000-0004-0000-0200-000085040000}"/>
    <hyperlink ref="F930" r:id="rId1159" xr:uid="{00000000-0004-0000-0200-000086040000}"/>
    <hyperlink ref="G930" r:id="rId1160" xr:uid="{00000000-0004-0000-0200-000087040000}"/>
    <hyperlink ref="S930" r:id="rId1161" xr:uid="{00000000-0004-0000-0200-000088040000}"/>
    <hyperlink ref="F932" r:id="rId1162" xr:uid="{00000000-0004-0000-0200-000089040000}"/>
    <hyperlink ref="S932" r:id="rId1163" xr:uid="{00000000-0004-0000-0200-00008A040000}"/>
    <hyperlink ref="F933" r:id="rId1164" xr:uid="{00000000-0004-0000-0200-00008B040000}"/>
    <hyperlink ref="S935" r:id="rId1165" xr:uid="{00000000-0004-0000-0200-00008C040000}"/>
    <hyperlink ref="F936" r:id="rId1166" xr:uid="{00000000-0004-0000-0200-00008D040000}"/>
    <hyperlink ref="G936" r:id="rId1167" xr:uid="{00000000-0004-0000-0200-00008E040000}"/>
    <hyperlink ref="S936" r:id="rId1168" xr:uid="{00000000-0004-0000-0200-00008F040000}"/>
    <hyperlink ref="F938" r:id="rId1169" xr:uid="{00000000-0004-0000-0200-000090040000}"/>
    <hyperlink ref="G938" r:id="rId1170" xr:uid="{00000000-0004-0000-0200-000091040000}"/>
    <hyperlink ref="S938" r:id="rId1171" xr:uid="{00000000-0004-0000-0200-000092040000}"/>
    <hyperlink ref="S939" r:id="rId1172" xr:uid="{00000000-0004-0000-0200-000093040000}"/>
    <hyperlink ref="F941" r:id="rId1173" xr:uid="{00000000-0004-0000-0200-000094040000}"/>
    <hyperlink ref="F942" r:id="rId1174" xr:uid="{00000000-0004-0000-0200-000095040000}"/>
    <hyperlink ref="F943" r:id="rId1175" location=".W_VDKRypRaA.twitter" xr:uid="{00000000-0004-0000-0200-000096040000}"/>
    <hyperlink ref="F944" r:id="rId1176" xr:uid="{00000000-0004-0000-0200-000097040000}"/>
    <hyperlink ref="F945" r:id="rId1177" location=".W_VCz_MH6YA.twitter" xr:uid="{00000000-0004-0000-0200-000098040000}"/>
    <hyperlink ref="F946" r:id="rId1178" xr:uid="{00000000-0004-0000-0200-000099040000}"/>
    <hyperlink ref="S946" r:id="rId1179" xr:uid="{00000000-0004-0000-0200-00009A040000}"/>
    <hyperlink ref="F947" r:id="rId1180" xr:uid="{00000000-0004-0000-0200-00009B040000}"/>
    <hyperlink ref="Q947" r:id="rId1181" xr:uid="{00000000-0004-0000-0200-00009C040000}"/>
    <hyperlink ref="S947" r:id="rId1182" xr:uid="{00000000-0004-0000-0200-00009D040000}"/>
    <hyperlink ref="F950" r:id="rId1183" xr:uid="{00000000-0004-0000-0200-00009E040000}"/>
    <hyperlink ref="F951" r:id="rId1184" xr:uid="{00000000-0004-0000-0200-00009F040000}"/>
    <hyperlink ref="S951" r:id="rId1185" xr:uid="{00000000-0004-0000-0200-0000A0040000}"/>
    <hyperlink ref="F952" r:id="rId1186" xr:uid="{00000000-0004-0000-0200-0000A1040000}"/>
    <hyperlink ref="S953" r:id="rId1187" xr:uid="{00000000-0004-0000-0200-0000A2040000}"/>
    <hyperlink ref="S954" r:id="rId1188" xr:uid="{00000000-0004-0000-0200-0000A3040000}"/>
    <hyperlink ref="F955" r:id="rId1189" xr:uid="{00000000-0004-0000-0200-0000A4040000}"/>
    <hyperlink ref="S955" r:id="rId1190" xr:uid="{00000000-0004-0000-0200-0000A5040000}"/>
    <hyperlink ref="F958" r:id="rId1191" xr:uid="{00000000-0004-0000-0200-0000A6040000}"/>
    <hyperlink ref="F959" r:id="rId1192" xr:uid="{00000000-0004-0000-0200-0000A7040000}"/>
    <hyperlink ref="F960" r:id="rId1193" xr:uid="{00000000-0004-0000-0200-0000A8040000}"/>
    <hyperlink ref="F961" r:id="rId1194" xr:uid="{00000000-0004-0000-0200-0000A9040000}"/>
    <hyperlink ref="S961" r:id="rId1195" xr:uid="{00000000-0004-0000-0200-0000AA040000}"/>
    <hyperlink ref="G962" r:id="rId1196" xr:uid="{00000000-0004-0000-0200-0000AB040000}"/>
    <hyperlink ref="F964" r:id="rId1197" xr:uid="{00000000-0004-0000-0200-0000AC040000}"/>
    <hyperlink ref="F965" r:id="rId1198" xr:uid="{00000000-0004-0000-0200-0000AD040000}"/>
    <hyperlink ref="S965" r:id="rId1199" xr:uid="{00000000-0004-0000-0200-0000AE040000}"/>
    <hyperlink ref="G967" r:id="rId1200" xr:uid="{00000000-0004-0000-0200-0000AF040000}"/>
    <hyperlink ref="G970" r:id="rId1201" xr:uid="{00000000-0004-0000-0200-0000B0040000}"/>
    <hyperlink ref="G971" r:id="rId1202" xr:uid="{00000000-0004-0000-0200-0000B1040000}"/>
    <hyperlink ref="F972" r:id="rId1203" xr:uid="{00000000-0004-0000-0200-0000B2040000}"/>
    <hyperlink ref="S972" r:id="rId1204" xr:uid="{00000000-0004-0000-0200-0000B3040000}"/>
    <hyperlink ref="F973" r:id="rId1205" xr:uid="{00000000-0004-0000-0200-0000B4040000}"/>
    <hyperlink ref="F974" r:id="rId1206" xr:uid="{00000000-0004-0000-0200-0000B5040000}"/>
    <hyperlink ref="G974" r:id="rId1207" xr:uid="{00000000-0004-0000-0200-0000B6040000}"/>
    <hyperlink ref="S974" r:id="rId1208" xr:uid="{00000000-0004-0000-0200-0000B7040000}"/>
    <hyperlink ref="S976" r:id="rId1209" xr:uid="{00000000-0004-0000-0200-0000B8040000}"/>
    <hyperlink ref="F978" r:id="rId1210" xr:uid="{00000000-0004-0000-0200-0000B9040000}"/>
    <hyperlink ref="F979" r:id="rId1211" xr:uid="{00000000-0004-0000-0200-0000BA040000}"/>
    <hyperlink ref="S979" r:id="rId1212" xr:uid="{00000000-0004-0000-0200-0000BB040000}"/>
    <hyperlink ref="F980" r:id="rId1213" xr:uid="{00000000-0004-0000-0200-0000BC040000}"/>
    <hyperlink ref="S981" r:id="rId1214" xr:uid="{00000000-0004-0000-0200-0000BD040000}"/>
    <hyperlink ref="F983" r:id="rId1215" xr:uid="{00000000-0004-0000-0200-0000BE040000}"/>
    <hyperlink ref="S983" r:id="rId1216" xr:uid="{00000000-0004-0000-0200-0000BF040000}"/>
    <hyperlink ref="F984" r:id="rId1217" xr:uid="{00000000-0004-0000-0200-0000C0040000}"/>
    <hyperlink ref="S984" r:id="rId1218" xr:uid="{00000000-0004-0000-0200-0000C1040000}"/>
    <hyperlink ref="F985" r:id="rId1219" xr:uid="{00000000-0004-0000-0200-0000C2040000}"/>
    <hyperlink ref="F986" r:id="rId1220" xr:uid="{00000000-0004-0000-0200-0000C3040000}"/>
    <hyperlink ref="F987" r:id="rId1221" xr:uid="{00000000-0004-0000-0200-0000C4040000}"/>
    <hyperlink ref="S987" r:id="rId1222" xr:uid="{00000000-0004-0000-0200-0000C5040000}"/>
    <hyperlink ref="F988" r:id="rId1223" xr:uid="{00000000-0004-0000-0200-0000C6040000}"/>
    <hyperlink ref="S988" r:id="rId1224" xr:uid="{00000000-0004-0000-0200-0000C7040000}"/>
    <hyperlink ref="F989" r:id="rId1225" xr:uid="{00000000-0004-0000-0200-0000C8040000}"/>
    <hyperlink ref="F990" r:id="rId1226" xr:uid="{00000000-0004-0000-0200-0000C9040000}"/>
    <hyperlink ref="G990" r:id="rId1227" xr:uid="{00000000-0004-0000-0200-0000CA040000}"/>
    <hyperlink ref="S990" r:id="rId1228" xr:uid="{00000000-0004-0000-0200-0000CB040000}"/>
    <hyperlink ref="F991" r:id="rId1229" xr:uid="{00000000-0004-0000-0200-0000CC040000}"/>
    <hyperlink ref="S991" r:id="rId1230" xr:uid="{00000000-0004-0000-0200-0000CD040000}"/>
    <hyperlink ref="G992" r:id="rId1231" xr:uid="{00000000-0004-0000-0200-0000CE040000}"/>
    <hyperlink ref="S992" r:id="rId1232" xr:uid="{00000000-0004-0000-0200-0000CF040000}"/>
    <hyperlink ref="F993" r:id="rId1233" xr:uid="{00000000-0004-0000-0200-0000D0040000}"/>
    <hyperlink ref="S993" r:id="rId1234" xr:uid="{00000000-0004-0000-0200-0000D1040000}"/>
    <hyperlink ref="G995" r:id="rId1235" xr:uid="{00000000-0004-0000-0200-0000D2040000}"/>
    <hyperlink ref="F996" r:id="rId1236" xr:uid="{00000000-0004-0000-0200-0000D3040000}"/>
    <hyperlink ref="S996" r:id="rId1237" xr:uid="{00000000-0004-0000-0200-0000D4040000}"/>
    <hyperlink ref="F999" r:id="rId1238" xr:uid="{00000000-0004-0000-0200-0000D5040000}"/>
    <hyperlink ref="F1000" r:id="rId1239" xr:uid="{00000000-0004-0000-0200-0000D6040000}"/>
    <hyperlink ref="S1000" r:id="rId1240" xr:uid="{00000000-0004-0000-0200-0000D7040000}"/>
    <hyperlink ref="F1001" r:id="rId1241" xr:uid="{00000000-0004-0000-0200-0000D8040000}"/>
    <hyperlink ref="S1001" r:id="rId1242" xr:uid="{00000000-0004-0000-0200-0000D9040000}"/>
    <hyperlink ref="F1002" r:id="rId1243" xr:uid="{00000000-0004-0000-0200-0000DA040000}"/>
    <hyperlink ref="S1002" r:id="rId1244" xr:uid="{00000000-0004-0000-0200-0000DB040000}"/>
    <hyperlink ref="S1003" r:id="rId1245" xr:uid="{00000000-0004-0000-0200-0000DC040000}"/>
    <hyperlink ref="F1008" r:id="rId1246" xr:uid="{00000000-0004-0000-0200-0000DD040000}"/>
    <hyperlink ref="S1008" r:id="rId1247" xr:uid="{00000000-0004-0000-0200-0000DE040000}"/>
    <hyperlink ref="F1009" r:id="rId1248" xr:uid="{00000000-0004-0000-0200-0000DF040000}"/>
    <hyperlink ref="F1010" r:id="rId1249" xr:uid="{00000000-0004-0000-0200-0000E0040000}"/>
    <hyperlink ref="S1010" r:id="rId1250" xr:uid="{00000000-0004-0000-0200-0000E1040000}"/>
    <hyperlink ref="F1011" r:id="rId1251" xr:uid="{00000000-0004-0000-0200-0000E2040000}"/>
    <hyperlink ref="S1011" r:id="rId1252" xr:uid="{00000000-0004-0000-0200-0000E3040000}"/>
    <hyperlink ref="F1012" r:id="rId1253" xr:uid="{00000000-0004-0000-0200-0000E4040000}"/>
    <hyperlink ref="S1012" r:id="rId1254" xr:uid="{00000000-0004-0000-0200-0000E5040000}"/>
    <hyperlink ref="F1015" r:id="rId1255" xr:uid="{00000000-0004-0000-0200-0000E6040000}"/>
    <hyperlink ref="S1015" r:id="rId1256" xr:uid="{00000000-0004-0000-0200-0000E7040000}"/>
    <hyperlink ref="F1016" r:id="rId1257" xr:uid="{00000000-0004-0000-0200-0000E8040000}"/>
    <hyperlink ref="S1016" r:id="rId1258" xr:uid="{00000000-0004-0000-0200-0000E9040000}"/>
    <hyperlink ref="S1017" r:id="rId1259" xr:uid="{00000000-0004-0000-0200-0000EA040000}"/>
    <hyperlink ref="G1018" r:id="rId1260" xr:uid="{00000000-0004-0000-0200-0000EB040000}"/>
    <hyperlink ref="S1018" r:id="rId1261" xr:uid="{00000000-0004-0000-0200-0000EC040000}"/>
    <hyperlink ref="F1019" r:id="rId1262" xr:uid="{00000000-0004-0000-0200-0000ED040000}"/>
    <hyperlink ref="G1019" r:id="rId1263" xr:uid="{00000000-0004-0000-0200-0000EE040000}"/>
    <hyperlink ref="S1019" r:id="rId1264" xr:uid="{00000000-0004-0000-0200-0000EF040000}"/>
    <hyperlink ref="F1020" r:id="rId1265" xr:uid="{00000000-0004-0000-0200-0000F0040000}"/>
    <hyperlink ref="S1020" r:id="rId1266" xr:uid="{00000000-0004-0000-0200-0000F1040000}"/>
    <hyperlink ref="S1021" r:id="rId1267" xr:uid="{00000000-0004-0000-0200-0000F2040000}"/>
    <hyperlink ref="S1022" r:id="rId1268" xr:uid="{00000000-0004-0000-0200-0000F3040000}"/>
    <hyperlink ref="F1023" r:id="rId1269" xr:uid="{00000000-0004-0000-0200-0000F4040000}"/>
    <hyperlink ref="S1027" r:id="rId1270" xr:uid="{00000000-0004-0000-0200-0000F5040000}"/>
    <hyperlink ref="C1029" r:id="rId1271" xr:uid="{00000000-0004-0000-0200-0000F6040000}"/>
    <hyperlink ref="F1029" r:id="rId1272" xr:uid="{00000000-0004-0000-0200-0000F7040000}"/>
    <hyperlink ref="G1029" r:id="rId1273" xr:uid="{00000000-0004-0000-0200-0000F8040000}"/>
    <hyperlink ref="S1029" r:id="rId1274" xr:uid="{00000000-0004-0000-0200-0000F9040000}"/>
    <hyperlink ref="F1034" r:id="rId1275" xr:uid="{00000000-0004-0000-0200-0000FA040000}"/>
    <hyperlink ref="F1035" r:id="rId1276" xr:uid="{00000000-0004-0000-0200-0000FB040000}"/>
    <hyperlink ref="S1035" r:id="rId1277" xr:uid="{00000000-0004-0000-0200-0000FC040000}"/>
    <hyperlink ref="G1037" r:id="rId1278" xr:uid="{00000000-0004-0000-0200-0000FD040000}"/>
    <hyperlink ref="S1037" r:id="rId1279" xr:uid="{00000000-0004-0000-0200-0000FE040000}"/>
    <hyperlink ref="F1038" r:id="rId1280" xr:uid="{00000000-0004-0000-0200-0000FF040000}"/>
    <hyperlink ref="S1038" r:id="rId1281" xr:uid="{00000000-0004-0000-0200-000000050000}"/>
    <hyperlink ref="F1040" r:id="rId1282" xr:uid="{00000000-0004-0000-0200-000001050000}"/>
    <hyperlink ref="G1040" r:id="rId1283" xr:uid="{00000000-0004-0000-0200-000002050000}"/>
    <hyperlink ref="S1040" r:id="rId1284" xr:uid="{00000000-0004-0000-0200-000003050000}"/>
    <hyperlink ref="F1041" r:id="rId1285" xr:uid="{00000000-0004-0000-0200-000004050000}"/>
    <hyperlink ref="F1042" r:id="rId1286" xr:uid="{00000000-0004-0000-0200-000005050000}"/>
    <hyperlink ref="G1043" r:id="rId1287" xr:uid="{00000000-0004-0000-0200-000006050000}"/>
    <hyperlink ref="S1043" r:id="rId1288" xr:uid="{00000000-0004-0000-0200-000007050000}"/>
    <hyperlink ref="F1044" r:id="rId1289" xr:uid="{00000000-0004-0000-0200-000008050000}"/>
    <hyperlink ref="S1044" r:id="rId1290" xr:uid="{00000000-0004-0000-0200-000009050000}"/>
    <hyperlink ref="F1045" r:id="rId1291" xr:uid="{00000000-0004-0000-0200-00000A050000}"/>
    <hyperlink ref="S1045" r:id="rId1292" xr:uid="{00000000-0004-0000-0200-00000B050000}"/>
    <hyperlink ref="F1047" r:id="rId1293" xr:uid="{00000000-0004-0000-0200-00000C050000}"/>
    <hyperlink ref="F1048" r:id="rId1294" xr:uid="{00000000-0004-0000-0200-00000D050000}"/>
    <hyperlink ref="G1048" r:id="rId1295" xr:uid="{00000000-0004-0000-0200-00000E050000}"/>
    <hyperlink ref="F1049" r:id="rId1296" xr:uid="{00000000-0004-0000-0200-00000F050000}"/>
    <hyperlink ref="S1049" r:id="rId1297" xr:uid="{00000000-0004-0000-0200-000010050000}"/>
    <hyperlink ref="F1050" r:id="rId1298" xr:uid="{00000000-0004-0000-0200-000011050000}"/>
    <hyperlink ref="F1051" r:id="rId1299" xr:uid="{00000000-0004-0000-0200-000012050000}"/>
    <hyperlink ref="S1051" r:id="rId1300" xr:uid="{00000000-0004-0000-0200-000013050000}"/>
    <hyperlink ref="F1052" r:id="rId1301" xr:uid="{00000000-0004-0000-0200-000014050000}"/>
    <hyperlink ref="F1053" r:id="rId1302" xr:uid="{00000000-0004-0000-0200-000015050000}"/>
    <hyperlink ref="S1053" r:id="rId1303" xr:uid="{00000000-0004-0000-0200-000016050000}"/>
    <hyperlink ref="F1054" r:id="rId1304" xr:uid="{00000000-0004-0000-0200-000017050000}"/>
    <hyperlink ref="F1055" r:id="rId1305" xr:uid="{00000000-0004-0000-0200-000018050000}"/>
    <hyperlink ref="G1055" r:id="rId1306" xr:uid="{00000000-0004-0000-0200-000019050000}"/>
    <hyperlink ref="S1055" r:id="rId1307" xr:uid="{00000000-0004-0000-0200-00001A050000}"/>
    <hyperlink ref="F1056" r:id="rId1308" xr:uid="{00000000-0004-0000-0200-00001B050000}"/>
    <hyperlink ref="G1056" r:id="rId1309" xr:uid="{00000000-0004-0000-0200-00001C050000}"/>
    <hyperlink ref="F1057" r:id="rId1310" xr:uid="{00000000-0004-0000-0200-00001D050000}"/>
    <hyperlink ref="G1057" r:id="rId1311" xr:uid="{00000000-0004-0000-0200-00001E050000}"/>
    <hyperlink ref="S1057" r:id="rId1312" xr:uid="{00000000-0004-0000-0200-00001F050000}"/>
    <hyperlink ref="F1058" r:id="rId1313" xr:uid="{00000000-0004-0000-0200-000020050000}"/>
    <hyperlink ref="S1059" r:id="rId1314" xr:uid="{00000000-0004-0000-0200-000021050000}"/>
    <hyperlink ref="F1060" r:id="rId1315" xr:uid="{00000000-0004-0000-0200-000022050000}"/>
    <hyperlink ref="G1060" r:id="rId1316" xr:uid="{00000000-0004-0000-0200-000023050000}"/>
    <hyperlink ref="S1060" r:id="rId1317" xr:uid="{00000000-0004-0000-0200-000024050000}"/>
    <hyperlink ref="F1061" r:id="rId1318" xr:uid="{00000000-0004-0000-0200-000025050000}"/>
    <hyperlink ref="S1061" r:id="rId1319" xr:uid="{00000000-0004-0000-0200-000026050000}"/>
    <hyperlink ref="F1062" r:id="rId1320" xr:uid="{00000000-0004-0000-0200-000027050000}"/>
    <hyperlink ref="S1063" r:id="rId1321" xr:uid="{00000000-0004-0000-0200-000028050000}"/>
    <hyperlink ref="G1064" r:id="rId1322" xr:uid="{00000000-0004-0000-0200-000029050000}"/>
    <hyperlink ref="S1064" r:id="rId1323" xr:uid="{00000000-0004-0000-0200-00002A050000}"/>
    <hyperlink ref="F1065" r:id="rId1324" xr:uid="{00000000-0004-0000-0200-00002B050000}"/>
    <hyperlink ref="S1066" r:id="rId1325" xr:uid="{00000000-0004-0000-0200-00002C050000}"/>
    <hyperlink ref="F1067" r:id="rId1326" xr:uid="{00000000-0004-0000-0200-00002D050000}"/>
    <hyperlink ref="F1068" r:id="rId1327" xr:uid="{00000000-0004-0000-0200-00002E050000}"/>
    <hyperlink ref="F1069" r:id="rId1328" xr:uid="{00000000-0004-0000-0200-00002F050000}"/>
    <hyperlink ref="S1069" r:id="rId1329" xr:uid="{00000000-0004-0000-0200-000030050000}"/>
    <hyperlink ref="F1070" r:id="rId1330" xr:uid="{00000000-0004-0000-0200-000031050000}"/>
    <hyperlink ref="S1070" r:id="rId1331" xr:uid="{00000000-0004-0000-0200-000032050000}"/>
    <hyperlink ref="F1071" r:id="rId1332" xr:uid="{00000000-0004-0000-0200-000033050000}"/>
    <hyperlink ref="S1073" r:id="rId1333" xr:uid="{00000000-0004-0000-0200-000034050000}"/>
    <hyperlink ref="F1074" r:id="rId1334" xr:uid="{00000000-0004-0000-0200-000035050000}"/>
    <hyperlink ref="G1074" r:id="rId1335" xr:uid="{00000000-0004-0000-0200-000036050000}"/>
    <hyperlink ref="S1074" r:id="rId1336" xr:uid="{00000000-0004-0000-0200-000037050000}"/>
    <hyperlink ref="F1075" r:id="rId1337" xr:uid="{00000000-0004-0000-0200-000038050000}"/>
    <hyperlink ref="S1075" r:id="rId1338" xr:uid="{00000000-0004-0000-0200-000039050000}"/>
    <hyperlink ref="F1076" r:id="rId1339" xr:uid="{00000000-0004-0000-0200-00003A050000}"/>
    <hyperlink ref="F1077" r:id="rId1340" xr:uid="{00000000-0004-0000-0200-00003B050000}"/>
    <hyperlink ref="S1077" r:id="rId1341" xr:uid="{00000000-0004-0000-0200-00003C050000}"/>
    <hyperlink ref="F1078" r:id="rId1342" xr:uid="{00000000-0004-0000-0200-00003D050000}"/>
    <hyperlink ref="F1079" r:id="rId1343" xr:uid="{00000000-0004-0000-0200-00003E050000}"/>
    <hyperlink ref="F1081" r:id="rId1344" xr:uid="{00000000-0004-0000-0200-00003F050000}"/>
    <hyperlink ref="S1081" r:id="rId1345" xr:uid="{00000000-0004-0000-0200-000040050000}"/>
    <hyperlink ref="F1082" r:id="rId1346" xr:uid="{00000000-0004-0000-0200-000041050000}"/>
    <hyperlink ref="F1083" r:id="rId1347" xr:uid="{00000000-0004-0000-0200-000042050000}"/>
    <hyperlink ref="G1083" r:id="rId1348" xr:uid="{00000000-0004-0000-0200-000043050000}"/>
    <hyperlink ref="F1084" r:id="rId1349" xr:uid="{00000000-0004-0000-0200-000044050000}"/>
    <hyperlink ref="G1084" r:id="rId1350" xr:uid="{00000000-0004-0000-0200-000045050000}"/>
    <hyperlink ref="S1084" r:id="rId1351" xr:uid="{00000000-0004-0000-0200-000046050000}"/>
    <hyperlink ref="F1085" r:id="rId1352" xr:uid="{00000000-0004-0000-0200-000047050000}"/>
    <hyperlink ref="G1085" r:id="rId1353" xr:uid="{00000000-0004-0000-0200-000048050000}"/>
    <hyperlink ref="F1087" r:id="rId1354" xr:uid="{00000000-0004-0000-0200-000049050000}"/>
    <hyperlink ref="S1087" r:id="rId1355" xr:uid="{00000000-0004-0000-0200-00004A050000}"/>
    <hyperlink ref="F1089" r:id="rId1356" xr:uid="{00000000-0004-0000-0200-00004B050000}"/>
    <hyperlink ref="F1090" r:id="rId1357" xr:uid="{00000000-0004-0000-0200-00004C050000}"/>
    <hyperlink ref="F1091" r:id="rId1358" xr:uid="{00000000-0004-0000-0200-00004D050000}"/>
    <hyperlink ref="F1092" r:id="rId1359" xr:uid="{00000000-0004-0000-0200-00004E050000}"/>
    <hyperlink ref="S1092" r:id="rId1360" xr:uid="{00000000-0004-0000-0200-00004F050000}"/>
    <hyperlink ref="S1094" r:id="rId1361" xr:uid="{00000000-0004-0000-0200-000050050000}"/>
    <hyperlink ref="F1095" r:id="rId1362" xr:uid="{00000000-0004-0000-0200-000051050000}"/>
    <hyperlink ref="S1097" r:id="rId1363" xr:uid="{00000000-0004-0000-0200-000052050000}"/>
    <hyperlink ref="F1098" r:id="rId1364" xr:uid="{00000000-0004-0000-0200-000053050000}"/>
    <hyperlink ref="S1099" r:id="rId1365" xr:uid="{00000000-0004-0000-0200-000054050000}"/>
    <hyperlink ref="F1100" r:id="rId1366" xr:uid="{00000000-0004-0000-0200-000055050000}"/>
    <hyperlink ref="G1100" r:id="rId1367" xr:uid="{00000000-0004-0000-0200-000056050000}"/>
    <hyperlink ref="S1100" r:id="rId1368" xr:uid="{00000000-0004-0000-0200-000057050000}"/>
    <hyperlink ref="F1101" r:id="rId1369" location=".W_RzmK4e8CY.twitter" xr:uid="{00000000-0004-0000-0200-000058050000}"/>
    <hyperlink ref="F1102" r:id="rId1370" xr:uid="{00000000-0004-0000-0200-000059050000}"/>
    <hyperlink ref="F1103" r:id="rId1371" xr:uid="{00000000-0004-0000-0200-00005A050000}"/>
    <hyperlink ref="F1104" r:id="rId1372" xr:uid="{00000000-0004-0000-0200-00005B050000}"/>
    <hyperlink ref="G1104" r:id="rId1373" xr:uid="{00000000-0004-0000-0200-00005C050000}"/>
    <hyperlink ref="S1104" r:id="rId1374" xr:uid="{00000000-0004-0000-0200-00005D050000}"/>
    <hyperlink ref="F1105" r:id="rId1375" xr:uid="{00000000-0004-0000-0200-00005E050000}"/>
    <hyperlink ref="S1105" r:id="rId1376" xr:uid="{00000000-0004-0000-0200-00005F050000}"/>
    <hyperlink ref="F1106" r:id="rId1377" xr:uid="{00000000-0004-0000-0200-000060050000}"/>
    <hyperlink ref="S1107" r:id="rId1378" xr:uid="{00000000-0004-0000-0200-000061050000}"/>
    <hyperlink ref="G1108" r:id="rId1379" xr:uid="{00000000-0004-0000-0200-000062050000}"/>
    <hyperlink ref="F1109" r:id="rId1380" xr:uid="{00000000-0004-0000-0200-000063050000}"/>
    <hyperlink ref="G1109" r:id="rId1381" xr:uid="{00000000-0004-0000-0200-000064050000}"/>
    <hyperlink ref="S1109" r:id="rId1382" xr:uid="{00000000-0004-0000-0200-000065050000}"/>
    <hyperlink ref="G1110" r:id="rId1383" xr:uid="{00000000-0004-0000-0200-000066050000}"/>
    <hyperlink ref="F1111" r:id="rId1384" xr:uid="{00000000-0004-0000-0200-000067050000}"/>
    <hyperlink ref="F1113" r:id="rId1385" xr:uid="{00000000-0004-0000-0200-000068050000}"/>
    <hyperlink ref="F1114" r:id="rId1386" xr:uid="{00000000-0004-0000-0200-000069050000}"/>
    <hyperlink ref="F1115" r:id="rId1387" xr:uid="{00000000-0004-0000-0200-00006A050000}"/>
    <hyperlink ref="F1116" r:id="rId1388" xr:uid="{00000000-0004-0000-0200-00006B050000}"/>
    <hyperlink ref="S1116" r:id="rId1389" xr:uid="{00000000-0004-0000-0200-00006C050000}"/>
    <hyperlink ref="F1117" r:id="rId1390" xr:uid="{00000000-0004-0000-0200-00006D050000}"/>
    <hyperlink ref="S1117" r:id="rId1391" xr:uid="{00000000-0004-0000-0200-00006E050000}"/>
    <hyperlink ref="F1119" r:id="rId1392" xr:uid="{00000000-0004-0000-0200-00006F050000}"/>
    <hyperlink ref="G1119" r:id="rId1393" xr:uid="{00000000-0004-0000-0200-000070050000}"/>
    <hyperlink ref="S1119" r:id="rId1394" xr:uid="{00000000-0004-0000-0200-000071050000}"/>
    <hyperlink ref="F1120" r:id="rId1395" xr:uid="{00000000-0004-0000-0200-000072050000}"/>
    <hyperlink ref="F1122" r:id="rId1396" xr:uid="{00000000-0004-0000-0200-000073050000}"/>
    <hyperlink ref="S1122" r:id="rId1397" xr:uid="{00000000-0004-0000-0200-000074050000}"/>
    <hyperlink ref="F1123" r:id="rId1398" xr:uid="{00000000-0004-0000-0200-000075050000}"/>
    <hyperlink ref="F1124" r:id="rId1399" xr:uid="{00000000-0004-0000-0200-000076050000}"/>
    <hyperlink ref="F1126" r:id="rId1400" xr:uid="{00000000-0004-0000-0200-000077050000}"/>
    <hyperlink ref="F1127" r:id="rId1401" xr:uid="{00000000-0004-0000-0200-000078050000}"/>
    <hyperlink ref="G1127" r:id="rId1402" xr:uid="{00000000-0004-0000-0200-000079050000}"/>
    <hyperlink ref="F1129" r:id="rId1403" xr:uid="{00000000-0004-0000-0200-00007A050000}"/>
    <hyperlink ref="S1134" r:id="rId1404" xr:uid="{00000000-0004-0000-0200-00007B050000}"/>
    <hyperlink ref="F1135" r:id="rId1405" xr:uid="{00000000-0004-0000-0200-00007C050000}"/>
    <hyperlink ref="F1136" r:id="rId1406" xr:uid="{00000000-0004-0000-0200-00007D050000}"/>
    <hyperlink ref="F1137" r:id="rId1407" location=".W_RR5AFF_kM.twitter" xr:uid="{00000000-0004-0000-0200-00007E050000}"/>
    <hyperlink ref="F1140" r:id="rId1408" xr:uid="{00000000-0004-0000-0200-00007F050000}"/>
    <hyperlink ref="S1140" r:id="rId1409" xr:uid="{00000000-0004-0000-0200-000080050000}"/>
    <hyperlink ref="F1142" r:id="rId1410" location=".W_RT-SBUah9.twitter" xr:uid="{00000000-0004-0000-0200-000081050000}"/>
    <hyperlink ref="G1143" r:id="rId1411" xr:uid="{00000000-0004-0000-0200-000082050000}"/>
    <hyperlink ref="S1144" r:id="rId1412" xr:uid="{00000000-0004-0000-0200-000083050000}"/>
    <hyperlink ref="F1145" r:id="rId1413" xr:uid="{00000000-0004-0000-0200-000084050000}"/>
    <hyperlink ref="F1146" r:id="rId1414" location=".W_RQqsfuYS4.twitter" xr:uid="{00000000-0004-0000-0200-000085050000}"/>
    <hyperlink ref="G1147" r:id="rId1415" xr:uid="{00000000-0004-0000-0200-000086050000}"/>
    <hyperlink ref="S1147" r:id="rId1416" xr:uid="{00000000-0004-0000-0200-000087050000}"/>
    <hyperlink ref="F1148" r:id="rId1417" xr:uid="{00000000-0004-0000-0200-000088050000}"/>
    <hyperlink ref="S1148" r:id="rId1418" xr:uid="{00000000-0004-0000-0200-000089050000}"/>
    <hyperlink ref="F1149" r:id="rId1419" xr:uid="{00000000-0004-0000-0200-00008A050000}"/>
    <hyperlink ref="S1149" r:id="rId1420" xr:uid="{00000000-0004-0000-0200-00008B050000}"/>
    <hyperlink ref="G1150" r:id="rId1421" xr:uid="{00000000-0004-0000-0200-00008C050000}"/>
    <hyperlink ref="F1152" r:id="rId1422" xr:uid="{00000000-0004-0000-0200-00008D050000}"/>
    <hyperlink ref="F1153" r:id="rId1423" xr:uid="{00000000-0004-0000-0200-00008E050000}"/>
    <hyperlink ref="F1154" r:id="rId1424" xr:uid="{00000000-0004-0000-0200-00008F050000}"/>
    <hyperlink ref="G1154" r:id="rId1425" xr:uid="{00000000-0004-0000-0200-000090050000}"/>
    <hyperlink ref="S1154" r:id="rId1426" xr:uid="{00000000-0004-0000-0200-000091050000}"/>
    <hyperlink ref="F1156" r:id="rId1427" xr:uid="{00000000-0004-0000-0200-000092050000}"/>
    <hyperlink ref="F1157" r:id="rId1428" xr:uid="{00000000-0004-0000-0200-000093050000}"/>
    <hyperlink ref="S1157" r:id="rId1429" xr:uid="{00000000-0004-0000-0200-000094050000}"/>
    <hyperlink ref="S1158" r:id="rId1430" xr:uid="{00000000-0004-0000-0200-000095050000}"/>
    <hyperlink ref="F1160" r:id="rId1431" xr:uid="{00000000-0004-0000-0200-000096050000}"/>
    <hyperlink ref="F1162" r:id="rId1432" xr:uid="{00000000-0004-0000-0200-000097050000}"/>
    <hyperlink ref="G1162" r:id="rId1433" xr:uid="{00000000-0004-0000-0200-000098050000}"/>
    <hyperlink ref="S1162" r:id="rId1434" xr:uid="{00000000-0004-0000-0200-000099050000}"/>
    <hyperlink ref="F1165" r:id="rId1435" xr:uid="{00000000-0004-0000-0200-00009A050000}"/>
    <hyperlink ref="G1168" r:id="rId1436" xr:uid="{00000000-0004-0000-0200-00009B050000}"/>
    <hyperlink ref="S1168" r:id="rId1437" xr:uid="{00000000-0004-0000-0200-00009C050000}"/>
    <hyperlink ref="G1170" r:id="rId1438" xr:uid="{00000000-0004-0000-0200-00009D050000}"/>
    <hyperlink ref="S1170" r:id="rId1439" xr:uid="{00000000-0004-0000-0200-00009E050000}"/>
    <hyperlink ref="F1171" r:id="rId1440" xr:uid="{00000000-0004-0000-0200-00009F050000}"/>
    <hyperlink ref="S1171" r:id="rId1441" xr:uid="{00000000-0004-0000-0200-0000A0050000}"/>
    <hyperlink ref="S1172" r:id="rId1442" xr:uid="{00000000-0004-0000-0200-0000A1050000}"/>
    <hyperlink ref="F1173" r:id="rId1443" xr:uid="{00000000-0004-0000-0200-0000A2050000}"/>
    <hyperlink ref="S1174" r:id="rId1444" xr:uid="{00000000-0004-0000-0200-0000A3050000}"/>
    <hyperlink ref="C1175" r:id="rId1445" xr:uid="{00000000-0004-0000-0200-0000A4050000}"/>
    <hyperlink ref="F1175" r:id="rId1446" xr:uid="{00000000-0004-0000-0200-0000A5050000}"/>
    <hyperlink ref="S1175" r:id="rId1447" xr:uid="{00000000-0004-0000-0200-0000A6050000}"/>
    <hyperlink ref="F1176" r:id="rId1448" xr:uid="{00000000-0004-0000-0200-0000A7050000}"/>
    <hyperlink ref="F1177" r:id="rId1449" xr:uid="{00000000-0004-0000-0200-0000A8050000}"/>
    <hyperlink ref="S1177" r:id="rId1450" xr:uid="{00000000-0004-0000-0200-0000A9050000}"/>
    <hyperlink ref="F1179" r:id="rId1451" xr:uid="{00000000-0004-0000-0200-0000AA050000}"/>
    <hyperlink ref="F1181" r:id="rId1452" xr:uid="{00000000-0004-0000-0200-0000AB050000}"/>
    <hyperlink ref="G1181" r:id="rId1453" xr:uid="{00000000-0004-0000-0200-0000AC050000}"/>
    <hyperlink ref="S1181" r:id="rId1454" xr:uid="{00000000-0004-0000-0200-0000AD050000}"/>
    <hyperlink ref="F1182" r:id="rId1455" xr:uid="{00000000-0004-0000-0200-0000AE050000}"/>
    <hyperlink ref="G1182" r:id="rId1456" xr:uid="{00000000-0004-0000-0200-0000AF050000}"/>
    <hyperlink ref="S1182" r:id="rId1457" xr:uid="{00000000-0004-0000-0200-0000B0050000}"/>
    <hyperlink ref="F1183" r:id="rId1458" xr:uid="{00000000-0004-0000-0200-0000B1050000}"/>
    <hyperlink ref="G1183" r:id="rId1459" xr:uid="{00000000-0004-0000-0200-0000B2050000}"/>
    <hyperlink ref="S1183" r:id="rId1460" xr:uid="{00000000-0004-0000-0200-0000B3050000}"/>
    <hyperlink ref="F1184" r:id="rId1461" location="Echobox=1542728796" xr:uid="{00000000-0004-0000-0200-0000B4050000}"/>
    <hyperlink ref="S1184" r:id="rId1462" xr:uid="{00000000-0004-0000-0200-0000B5050000}"/>
    <hyperlink ref="F1185" r:id="rId1463" xr:uid="{00000000-0004-0000-0200-0000B6050000}"/>
    <hyperlink ref="S1185" r:id="rId1464" xr:uid="{00000000-0004-0000-0200-0000B7050000}"/>
    <hyperlink ref="G1186" r:id="rId1465" xr:uid="{00000000-0004-0000-0200-0000B8050000}"/>
    <hyperlink ref="S1186" r:id="rId1466" xr:uid="{00000000-0004-0000-0200-0000B9050000}"/>
    <hyperlink ref="F1187" r:id="rId1467" xr:uid="{00000000-0004-0000-0200-0000BA050000}"/>
    <hyperlink ref="F1188" r:id="rId1468" xr:uid="{00000000-0004-0000-0200-0000BB050000}"/>
    <hyperlink ref="G1188" r:id="rId1469" xr:uid="{00000000-0004-0000-0200-0000BC050000}"/>
    <hyperlink ref="F1189" r:id="rId1470" xr:uid="{00000000-0004-0000-0200-0000BD050000}"/>
    <hyperlink ref="G1191" r:id="rId1471" xr:uid="{00000000-0004-0000-0200-0000BE050000}"/>
    <hyperlink ref="S1191" r:id="rId1472" xr:uid="{00000000-0004-0000-0200-0000BF050000}"/>
    <hyperlink ref="F1192" r:id="rId1473" xr:uid="{00000000-0004-0000-0200-0000C0050000}"/>
    <hyperlink ref="S1193" r:id="rId1474" xr:uid="{00000000-0004-0000-0200-0000C1050000}"/>
    <hyperlink ref="F1194" r:id="rId1475" xr:uid="{00000000-0004-0000-0200-0000C2050000}"/>
    <hyperlink ref="S1194" r:id="rId1476" xr:uid="{00000000-0004-0000-0200-0000C3050000}"/>
    <hyperlink ref="S1195" r:id="rId1477" xr:uid="{00000000-0004-0000-0200-0000C4050000}"/>
    <hyperlink ref="F1196" r:id="rId1478" xr:uid="{00000000-0004-0000-0200-0000C5050000}"/>
    <hyperlink ref="S1196" r:id="rId1479" xr:uid="{00000000-0004-0000-0200-0000C6050000}"/>
    <hyperlink ref="F1197" r:id="rId1480" xr:uid="{00000000-0004-0000-0200-0000C7050000}"/>
    <hyperlink ref="F1198" r:id="rId1481" xr:uid="{00000000-0004-0000-0200-0000C8050000}"/>
    <hyperlink ref="G1198" r:id="rId1482" xr:uid="{00000000-0004-0000-0200-0000C9050000}"/>
    <hyperlink ref="F1200" r:id="rId1483" xr:uid="{00000000-0004-0000-0200-0000CA050000}"/>
    <hyperlink ref="F1201" r:id="rId1484" location=".W_QhWeg8meE.twitter" xr:uid="{00000000-0004-0000-0200-0000CB050000}"/>
    <hyperlink ref="F1202" r:id="rId1485" xr:uid="{00000000-0004-0000-0200-0000CC050000}"/>
    <hyperlink ref="F1203" r:id="rId1486" xr:uid="{00000000-0004-0000-0200-0000CD050000}"/>
    <hyperlink ref="F1205" r:id="rId1487" xr:uid="{00000000-0004-0000-0200-0000CE050000}"/>
    <hyperlink ref="G1205" r:id="rId1488" xr:uid="{00000000-0004-0000-0200-0000CF050000}"/>
    <hyperlink ref="F1206" r:id="rId1489" xr:uid="{00000000-0004-0000-0200-0000D0050000}"/>
    <hyperlink ref="F1207" r:id="rId1490" xr:uid="{00000000-0004-0000-0200-0000D1050000}"/>
    <hyperlink ref="F1208" r:id="rId1491" xr:uid="{00000000-0004-0000-0200-0000D2050000}"/>
    <hyperlink ref="F1209" r:id="rId1492" xr:uid="{00000000-0004-0000-0200-0000D3050000}"/>
    <hyperlink ref="G1210" r:id="rId1493" xr:uid="{00000000-0004-0000-0200-0000D4050000}"/>
    <hyperlink ref="F1211" r:id="rId1494" xr:uid="{00000000-0004-0000-0200-0000D5050000}"/>
    <hyperlink ref="F1213" r:id="rId1495" xr:uid="{00000000-0004-0000-0200-0000D6050000}"/>
    <hyperlink ref="F1214" r:id="rId1496" xr:uid="{00000000-0004-0000-0200-0000D7050000}"/>
    <hyperlink ref="G1215" r:id="rId1497" xr:uid="{00000000-0004-0000-0200-0000D8050000}"/>
    <hyperlink ref="S1215" r:id="rId1498" xr:uid="{00000000-0004-0000-0200-0000D9050000}"/>
    <hyperlink ref="F1216" r:id="rId1499" xr:uid="{00000000-0004-0000-0200-0000DA050000}"/>
    <hyperlink ref="G1217" r:id="rId1500" xr:uid="{00000000-0004-0000-0200-0000DB050000}"/>
    <hyperlink ref="S1217" r:id="rId1501" xr:uid="{00000000-0004-0000-0200-0000DC050000}"/>
    <hyperlink ref="S1218" r:id="rId1502" xr:uid="{00000000-0004-0000-0200-0000DD050000}"/>
    <hyperlink ref="F1219" r:id="rId1503" xr:uid="{00000000-0004-0000-0200-0000DE050000}"/>
    <hyperlink ref="F1222" r:id="rId1504" xr:uid="{00000000-0004-0000-0200-0000DF050000}"/>
    <hyperlink ref="G1222" r:id="rId1505" xr:uid="{00000000-0004-0000-0200-0000E0050000}"/>
    <hyperlink ref="S1222" r:id="rId1506" xr:uid="{00000000-0004-0000-0200-0000E1050000}"/>
    <hyperlink ref="S1223" r:id="rId1507" xr:uid="{00000000-0004-0000-0200-0000E2050000}"/>
    <hyperlink ref="F1224" r:id="rId1508" xr:uid="{00000000-0004-0000-0200-0000E3050000}"/>
    <hyperlink ref="G1224" r:id="rId1509" xr:uid="{00000000-0004-0000-0200-0000E4050000}"/>
    <hyperlink ref="S1224" r:id="rId1510" xr:uid="{00000000-0004-0000-0200-0000E5050000}"/>
    <hyperlink ref="F1225" r:id="rId1511" xr:uid="{00000000-0004-0000-0200-0000E6050000}"/>
    <hyperlink ref="S1225" r:id="rId1512" xr:uid="{00000000-0004-0000-0200-0000E7050000}"/>
    <hyperlink ref="F1227" r:id="rId1513" xr:uid="{00000000-0004-0000-0200-0000E8050000}"/>
    <hyperlink ref="F1228" r:id="rId1514" xr:uid="{00000000-0004-0000-0200-0000E9050000}"/>
    <hyperlink ref="G1228" r:id="rId1515" xr:uid="{00000000-0004-0000-0200-0000EA050000}"/>
    <hyperlink ref="S1228" r:id="rId1516" xr:uid="{00000000-0004-0000-0200-0000EB050000}"/>
    <hyperlink ref="F1229" r:id="rId1517" xr:uid="{00000000-0004-0000-0200-0000EC050000}"/>
    <hyperlink ref="G1230" r:id="rId1518" xr:uid="{00000000-0004-0000-0200-0000ED050000}"/>
    <hyperlink ref="F1231" r:id="rId1519" xr:uid="{00000000-0004-0000-0200-0000EE050000}"/>
    <hyperlink ref="S1232" r:id="rId1520" xr:uid="{00000000-0004-0000-0200-0000EF050000}"/>
    <hyperlink ref="F1234" r:id="rId1521" xr:uid="{00000000-0004-0000-0200-0000F0050000}"/>
    <hyperlink ref="G1234" r:id="rId1522" xr:uid="{00000000-0004-0000-0200-0000F1050000}"/>
    <hyperlink ref="F1235" r:id="rId1523" xr:uid="{00000000-0004-0000-0200-0000F2050000}"/>
    <hyperlink ref="F1236" r:id="rId1524" xr:uid="{00000000-0004-0000-0200-0000F3050000}"/>
    <hyperlink ref="G1236" r:id="rId1525" xr:uid="{00000000-0004-0000-0200-0000F4050000}"/>
    <hyperlink ref="S1236" r:id="rId1526" xr:uid="{00000000-0004-0000-0200-0000F5050000}"/>
    <hyperlink ref="G1237" r:id="rId1527" xr:uid="{00000000-0004-0000-0200-0000F6050000}"/>
    <hyperlink ref="S1237" r:id="rId1528" xr:uid="{00000000-0004-0000-0200-0000F7050000}"/>
    <hyperlink ref="F1239" r:id="rId1529" xr:uid="{00000000-0004-0000-0200-0000F8050000}"/>
    <hyperlink ref="G1239" r:id="rId1530" xr:uid="{00000000-0004-0000-0200-0000F9050000}"/>
    <hyperlink ref="S1239" r:id="rId1531" xr:uid="{00000000-0004-0000-0200-0000FA050000}"/>
    <hyperlink ref="F1240" r:id="rId1532" xr:uid="{00000000-0004-0000-0200-0000FB050000}"/>
    <hyperlink ref="G1240" r:id="rId1533" xr:uid="{00000000-0004-0000-0200-0000FC050000}"/>
    <hyperlink ref="S1240" r:id="rId1534" xr:uid="{00000000-0004-0000-0200-0000FD050000}"/>
    <hyperlink ref="F1241" r:id="rId1535" xr:uid="{00000000-0004-0000-0200-0000FE050000}"/>
    <hyperlink ref="G1241" r:id="rId1536" xr:uid="{00000000-0004-0000-0200-0000FF050000}"/>
    <hyperlink ref="F1243" r:id="rId1537" xr:uid="{00000000-0004-0000-0200-000000060000}"/>
    <hyperlink ref="F1244" r:id="rId1538" xr:uid="{00000000-0004-0000-0200-000001060000}"/>
    <hyperlink ref="G1244" r:id="rId1539" xr:uid="{00000000-0004-0000-0200-000002060000}"/>
    <hyperlink ref="S1244" r:id="rId1540" xr:uid="{00000000-0004-0000-0200-000003060000}"/>
    <hyperlink ref="F1246" r:id="rId1541" xr:uid="{00000000-0004-0000-0200-000004060000}"/>
    <hyperlink ref="S1246" r:id="rId1542" xr:uid="{00000000-0004-0000-0200-000005060000}"/>
    <hyperlink ref="F1248" r:id="rId1543" xr:uid="{00000000-0004-0000-0200-000006060000}"/>
    <hyperlink ref="F1249" r:id="rId1544" xr:uid="{00000000-0004-0000-0200-000007060000}"/>
    <hyperlink ref="S1249" r:id="rId1545" xr:uid="{00000000-0004-0000-0200-000008060000}"/>
    <hyperlink ref="F1251" r:id="rId1546" xr:uid="{00000000-0004-0000-0200-000009060000}"/>
    <hyperlink ref="S1251" r:id="rId1547" xr:uid="{00000000-0004-0000-0200-00000A060000}"/>
    <hyperlink ref="F1252" r:id="rId1548" xr:uid="{00000000-0004-0000-0200-00000B060000}"/>
    <hyperlink ref="F1253" r:id="rId1549" xr:uid="{00000000-0004-0000-0200-00000C060000}"/>
    <hyperlink ref="F1255" r:id="rId1550" xr:uid="{00000000-0004-0000-0200-00000D060000}"/>
    <hyperlink ref="F1257" r:id="rId1551" xr:uid="{00000000-0004-0000-0200-00000E060000}"/>
    <hyperlink ref="S1257" r:id="rId1552" xr:uid="{00000000-0004-0000-0200-00000F060000}"/>
    <hyperlink ref="S1258" r:id="rId1553" xr:uid="{00000000-0004-0000-0200-000010060000}"/>
    <hyperlink ref="C1259" r:id="rId1554" xr:uid="{00000000-0004-0000-0200-000011060000}"/>
    <hyperlink ref="F1259" r:id="rId1555" location=".W_QFAjOfQRI.twitter" xr:uid="{00000000-0004-0000-0200-000012060000}"/>
    <hyperlink ref="S1259" r:id="rId1556" xr:uid="{00000000-0004-0000-0200-000013060000}"/>
    <hyperlink ref="G1260" r:id="rId1557" xr:uid="{00000000-0004-0000-0200-000014060000}"/>
    <hyperlink ref="S1260" r:id="rId1558" xr:uid="{00000000-0004-0000-0200-000015060000}"/>
    <hyperlink ref="G1262" r:id="rId1559" xr:uid="{00000000-0004-0000-0200-000016060000}"/>
    <hyperlink ref="S1262" r:id="rId1560" xr:uid="{00000000-0004-0000-0200-000017060000}"/>
    <hyperlink ref="F1263" r:id="rId1561" location=".W_QD7ygkC24.facebook" xr:uid="{00000000-0004-0000-0200-000018060000}"/>
    <hyperlink ref="F1264" r:id="rId1562" xr:uid="{00000000-0004-0000-0200-000019060000}"/>
    <hyperlink ref="S1264" r:id="rId1563" xr:uid="{00000000-0004-0000-0200-00001A060000}"/>
    <hyperlink ref="G1265" r:id="rId1564" xr:uid="{00000000-0004-0000-0200-00001B060000}"/>
    <hyperlink ref="S1265" r:id="rId1565" xr:uid="{00000000-0004-0000-0200-00001C060000}"/>
    <hyperlink ref="S1266" r:id="rId1566" xr:uid="{00000000-0004-0000-0200-00001D060000}"/>
    <hyperlink ref="S1267" r:id="rId1567" xr:uid="{00000000-0004-0000-0200-00001E060000}"/>
    <hyperlink ref="F1269" r:id="rId1568" xr:uid="{00000000-0004-0000-0200-00001F060000}"/>
    <hyperlink ref="S1270" r:id="rId1569" xr:uid="{00000000-0004-0000-0200-000020060000}"/>
    <hyperlink ref="F1271" r:id="rId1570" xr:uid="{00000000-0004-0000-0200-000021060000}"/>
    <hyperlink ref="F1272" r:id="rId1571" xr:uid="{00000000-0004-0000-0200-000022060000}"/>
    <hyperlink ref="S1272" r:id="rId1572" xr:uid="{00000000-0004-0000-0200-000023060000}"/>
    <hyperlink ref="F1273" r:id="rId1573" xr:uid="{00000000-0004-0000-0200-000024060000}"/>
    <hyperlink ref="F1274" r:id="rId1574" xr:uid="{00000000-0004-0000-0200-000025060000}"/>
    <hyperlink ref="G1274" r:id="rId1575" xr:uid="{00000000-0004-0000-0200-000026060000}"/>
    <hyperlink ref="S1274" r:id="rId1576" xr:uid="{00000000-0004-0000-0200-000027060000}"/>
    <hyperlink ref="F1275" r:id="rId1577" xr:uid="{00000000-0004-0000-0200-000028060000}"/>
    <hyperlink ref="G1275" r:id="rId1578" xr:uid="{00000000-0004-0000-0200-000029060000}"/>
    <hyperlink ref="S1275" r:id="rId1579" xr:uid="{00000000-0004-0000-0200-00002A060000}"/>
    <hyperlink ref="F1276" r:id="rId1580" xr:uid="{00000000-0004-0000-0200-00002B060000}"/>
    <hyperlink ref="G1276" r:id="rId1581" xr:uid="{00000000-0004-0000-0200-00002C060000}"/>
    <hyperlink ref="S1276" r:id="rId1582" xr:uid="{00000000-0004-0000-0200-00002D060000}"/>
    <hyperlink ref="F1277" r:id="rId1583" xr:uid="{00000000-0004-0000-0200-00002E060000}"/>
    <hyperlink ref="G1277" r:id="rId1584" xr:uid="{00000000-0004-0000-0200-00002F060000}"/>
    <hyperlink ref="S1277" r:id="rId1585" xr:uid="{00000000-0004-0000-0200-000030060000}"/>
    <hyperlink ref="F1278" r:id="rId1586" xr:uid="{00000000-0004-0000-0200-000031060000}"/>
    <hyperlink ref="F1279" r:id="rId1587" xr:uid="{00000000-0004-0000-0200-000032060000}"/>
    <hyperlink ref="S1279" r:id="rId1588" xr:uid="{00000000-0004-0000-0200-000033060000}"/>
    <hyperlink ref="F1280" r:id="rId1589" xr:uid="{00000000-0004-0000-0200-000034060000}"/>
    <hyperlink ref="F1281" r:id="rId1590" xr:uid="{00000000-0004-0000-0200-000035060000}"/>
    <hyperlink ref="F1282" r:id="rId1591" xr:uid="{00000000-0004-0000-0200-000036060000}"/>
    <hyperlink ref="G1282" r:id="rId1592" xr:uid="{00000000-0004-0000-0200-000037060000}"/>
    <hyperlink ref="S1282" r:id="rId1593" xr:uid="{00000000-0004-0000-0200-000038060000}"/>
    <hyperlink ref="F1283" r:id="rId1594" xr:uid="{00000000-0004-0000-0200-000039060000}"/>
    <hyperlink ref="S1284" r:id="rId1595" xr:uid="{00000000-0004-0000-0200-00003A060000}"/>
    <hyperlink ref="G1285" r:id="rId1596" xr:uid="{00000000-0004-0000-0200-00003B060000}"/>
    <hyperlink ref="F1286" r:id="rId1597" xr:uid="{00000000-0004-0000-0200-00003C060000}"/>
    <hyperlink ref="G1286" r:id="rId1598" xr:uid="{00000000-0004-0000-0200-00003D060000}"/>
    <hyperlink ref="S1286" r:id="rId1599" xr:uid="{00000000-0004-0000-0200-00003E060000}"/>
    <hyperlink ref="G1287" r:id="rId1600" xr:uid="{00000000-0004-0000-0200-00003F060000}"/>
    <hyperlink ref="S1287" r:id="rId1601" xr:uid="{00000000-0004-0000-0200-000040060000}"/>
    <hyperlink ref="F1289" r:id="rId1602" xr:uid="{00000000-0004-0000-0200-000041060000}"/>
    <hyperlink ref="G1289" r:id="rId1603" xr:uid="{00000000-0004-0000-0200-000042060000}"/>
    <hyperlink ref="S1289" r:id="rId1604" xr:uid="{00000000-0004-0000-0200-000043060000}"/>
    <hyperlink ref="S1290" r:id="rId1605" xr:uid="{00000000-0004-0000-0200-000044060000}"/>
    <hyperlink ref="F1291" r:id="rId1606" xr:uid="{00000000-0004-0000-0200-000045060000}"/>
    <hyperlink ref="S1291" r:id="rId1607" xr:uid="{00000000-0004-0000-0200-000046060000}"/>
    <hyperlink ref="F1292" r:id="rId1608" xr:uid="{00000000-0004-0000-0200-000047060000}"/>
    <hyperlink ref="S1292" r:id="rId1609" xr:uid="{00000000-0004-0000-0200-000048060000}"/>
    <hyperlink ref="F1293" r:id="rId1610" xr:uid="{00000000-0004-0000-0200-000049060000}"/>
    <hyperlink ref="S1293" r:id="rId1611" xr:uid="{00000000-0004-0000-0200-00004A060000}"/>
    <hyperlink ref="F1294" r:id="rId1612" xr:uid="{00000000-0004-0000-0200-00004B060000}"/>
    <hyperlink ref="S1294" r:id="rId1613" xr:uid="{00000000-0004-0000-0200-00004C060000}"/>
    <hyperlink ref="F1295" r:id="rId1614" xr:uid="{00000000-0004-0000-0200-00004D060000}"/>
    <hyperlink ref="S1295" r:id="rId1615" xr:uid="{00000000-0004-0000-0200-00004E060000}"/>
    <hyperlink ref="F1296" r:id="rId1616" xr:uid="{00000000-0004-0000-0200-00004F060000}"/>
    <hyperlink ref="S1296" r:id="rId1617" xr:uid="{00000000-0004-0000-0200-000050060000}"/>
    <hyperlink ref="F1297" r:id="rId1618" xr:uid="{00000000-0004-0000-0200-000051060000}"/>
    <hyperlink ref="S1297" r:id="rId1619" xr:uid="{00000000-0004-0000-0200-000052060000}"/>
    <hyperlink ref="G1298" r:id="rId1620" xr:uid="{00000000-0004-0000-0200-000053060000}"/>
    <hyperlink ref="F1302" r:id="rId1621" xr:uid="{00000000-0004-0000-0200-000054060000}"/>
    <hyperlink ref="G1303" r:id="rId1622" xr:uid="{00000000-0004-0000-0200-000055060000}"/>
    <hyperlink ref="F1305" r:id="rId1623" xr:uid="{00000000-0004-0000-0200-000056060000}"/>
    <hyperlink ref="G1305" r:id="rId1624" xr:uid="{00000000-0004-0000-0200-000057060000}"/>
    <hyperlink ref="S1305" r:id="rId1625" xr:uid="{00000000-0004-0000-0200-000058060000}"/>
    <hyperlink ref="F1307" r:id="rId1626" xr:uid="{00000000-0004-0000-0200-000059060000}"/>
    <hyperlink ref="F1310" r:id="rId1627" xr:uid="{00000000-0004-0000-0200-00005A060000}"/>
    <hyperlink ref="S1310" r:id="rId1628" xr:uid="{00000000-0004-0000-0200-00005B060000}"/>
    <hyperlink ref="F1311" r:id="rId1629" xr:uid="{00000000-0004-0000-0200-00005C060000}"/>
    <hyperlink ref="G1311" r:id="rId1630" xr:uid="{00000000-0004-0000-0200-00005D060000}"/>
    <hyperlink ref="F1312" r:id="rId1631" xr:uid="{00000000-0004-0000-0200-00005E060000}"/>
    <hyperlink ref="G1312" r:id="rId1632" xr:uid="{00000000-0004-0000-0200-00005F060000}"/>
    <hyperlink ref="S1312" r:id="rId1633" xr:uid="{00000000-0004-0000-0200-000060060000}"/>
    <hyperlink ref="F1313" r:id="rId1634" xr:uid="{00000000-0004-0000-0200-000061060000}"/>
    <hyperlink ref="F1314" r:id="rId1635" xr:uid="{00000000-0004-0000-0200-000062060000}"/>
    <hyperlink ref="S1314" r:id="rId1636" xr:uid="{00000000-0004-0000-0200-000063060000}"/>
    <hyperlink ref="F1315" r:id="rId1637" xr:uid="{00000000-0004-0000-0200-000064060000}"/>
    <hyperlink ref="S1315" r:id="rId1638" xr:uid="{00000000-0004-0000-0200-000065060000}"/>
    <hyperlink ref="F1316" r:id="rId1639" xr:uid="{00000000-0004-0000-0200-000066060000}"/>
    <hyperlink ref="F1317" r:id="rId1640" xr:uid="{00000000-0004-0000-0200-000067060000}"/>
    <hyperlink ref="S1317" r:id="rId1641" xr:uid="{00000000-0004-0000-0200-000068060000}"/>
    <hyperlink ref="F1318" r:id="rId1642" xr:uid="{00000000-0004-0000-0200-000069060000}"/>
    <hyperlink ref="S1318" r:id="rId1643" xr:uid="{00000000-0004-0000-0200-00006A060000}"/>
    <hyperlink ref="F1322" r:id="rId1644" xr:uid="{00000000-0004-0000-0200-00006B060000}"/>
    <hyperlink ref="F1323" r:id="rId1645" xr:uid="{00000000-0004-0000-0200-00006C060000}"/>
    <hyperlink ref="F1324" r:id="rId1646" xr:uid="{00000000-0004-0000-0200-00006D060000}"/>
    <hyperlink ref="S1324" r:id="rId1647" xr:uid="{00000000-0004-0000-0200-00006E060000}"/>
    <hyperlink ref="F1325" r:id="rId1648" xr:uid="{00000000-0004-0000-0200-00006F060000}"/>
    <hyperlink ref="S1325" r:id="rId1649" xr:uid="{00000000-0004-0000-0200-000070060000}"/>
    <hyperlink ref="S1326" r:id="rId1650" xr:uid="{00000000-0004-0000-0200-000071060000}"/>
    <hyperlink ref="G1327" r:id="rId1651" xr:uid="{00000000-0004-0000-0200-000072060000}"/>
    <hyperlink ref="G1328" r:id="rId1652" xr:uid="{00000000-0004-0000-0200-000073060000}"/>
    <hyperlink ref="S1328" r:id="rId1653" xr:uid="{00000000-0004-0000-0200-000074060000}"/>
    <hyperlink ref="F1330" r:id="rId1654" xr:uid="{00000000-0004-0000-0200-000075060000}"/>
    <hyperlink ref="S1330" r:id="rId1655" xr:uid="{00000000-0004-0000-0200-000076060000}"/>
    <hyperlink ref="F1331" r:id="rId1656" xr:uid="{00000000-0004-0000-0200-000077060000}"/>
    <hyperlink ref="S1331" r:id="rId1657" xr:uid="{00000000-0004-0000-0200-000078060000}"/>
    <hyperlink ref="F1334" r:id="rId1658" xr:uid="{00000000-0004-0000-0200-000079060000}"/>
    <hyperlink ref="F1335" r:id="rId1659" xr:uid="{00000000-0004-0000-0200-00007A060000}"/>
    <hyperlink ref="S1335" r:id="rId1660" xr:uid="{00000000-0004-0000-0200-00007B060000}"/>
    <hyperlink ref="G1338" r:id="rId1661" xr:uid="{00000000-0004-0000-0200-00007C060000}"/>
    <hyperlink ref="S1338" r:id="rId1662" xr:uid="{00000000-0004-0000-0200-00007D060000}"/>
    <hyperlink ref="F1339" r:id="rId1663" xr:uid="{00000000-0004-0000-0200-00007E060000}"/>
    <hyperlink ref="S1339" r:id="rId1664" xr:uid="{00000000-0004-0000-0200-00007F060000}"/>
    <hyperlink ref="F1341" r:id="rId1665" xr:uid="{00000000-0004-0000-0200-000080060000}"/>
    <hyperlink ref="S1341" r:id="rId1666" xr:uid="{00000000-0004-0000-0200-000081060000}"/>
    <hyperlink ref="F1342" r:id="rId1667" xr:uid="{00000000-0004-0000-0200-000082060000}"/>
    <hyperlink ref="S1342" r:id="rId1668" xr:uid="{00000000-0004-0000-0200-000083060000}"/>
    <hyperlink ref="F1343" r:id="rId1669" xr:uid="{00000000-0004-0000-0200-000084060000}"/>
    <hyperlink ref="F1344" r:id="rId1670" xr:uid="{00000000-0004-0000-0200-000085060000}"/>
    <hyperlink ref="S1344" r:id="rId1671" xr:uid="{00000000-0004-0000-0200-000086060000}"/>
    <hyperlink ref="F1345" r:id="rId1672" xr:uid="{00000000-0004-0000-0200-000087060000}"/>
    <hyperlink ref="S1345" r:id="rId1673" xr:uid="{00000000-0004-0000-0200-000088060000}"/>
    <hyperlink ref="F1346" r:id="rId1674" xr:uid="{00000000-0004-0000-0200-000089060000}"/>
    <hyperlink ref="G1346" r:id="rId1675" xr:uid="{00000000-0004-0000-0200-00008A060000}"/>
    <hyperlink ref="S1346" r:id="rId1676" xr:uid="{00000000-0004-0000-0200-00008B060000}"/>
    <hyperlink ref="F1347" r:id="rId1677" xr:uid="{00000000-0004-0000-0200-00008C060000}"/>
    <hyperlink ref="F1348" r:id="rId1678" xr:uid="{00000000-0004-0000-0200-00008D060000}"/>
    <hyperlink ref="S1348" r:id="rId1679" xr:uid="{00000000-0004-0000-0200-00008E060000}"/>
    <hyperlink ref="G1349" r:id="rId1680" xr:uid="{00000000-0004-0000-0200-00008F060000}"/>
    <hyperlink ref="F1350" r:id="rId1681" xr:uid="{00000000-0004-0000-0200-000090060000}"/>
    <hyperlink ref="S1350" r:id="rId1682" xr:uid="{00000000-0004-0000-0200-000091060000}"/>
    <hyperlink ref="F1351" r:id="rId1683" xr:uid="{00000000-0004-0000-0200-000092060000}"/>
    <hyperlink ref="S1351" r:id="rId1684" xr:uid="{00000000-0004-0000-0200-000093060000}"/>
    <hyperlink ref="F1352" r:id="rId1685" xr:uid="{00000000-0004-0000-0200-000094060000}"/>
    <hyperlink ref="F1353" r:id="rId1686" xr:uid="{00000000-0004-0000-0200-000095060000}"/>
    <hyperlink ref="G1353" r:id="rId1687" xr:uid="{00000000-0004-0000-0200-000096060000}"/>
    <hyperlink ref="S1353" r:id="rId1688" xr:uid="{00000000-0004-0000-0200-000097060000}"/>
    <hyperlink ref="F1356" r:id="rId1689" xr:uid="{00000000-0004-0000-0200-000098060000}"/>
    <hyperlink ref="F1358" r:id="rId1690" xr:uid="{00000000-0004-0000-0200-000099060000}"/>
    <hyperlink ref="S1358" r:id="rId1691" xr:uid="{00000000-0004-0000-0200-00009A060000}"/>
    <hyperlink ref="F1359" r:id="rId1692" xr:uid="{00000000-0004-0000-0200-00009B060000}"/>
    <hyperlink ref="F1360" r:id="rId1693" xr:uid="{00000000-0004-0000-0200-00009C060000}"/>
    <hyperlink ref="S1360" r:id="rId1694" xr:uid="{00000000-0004-0000-0200-00009D060000}"/>
    <hyperlink ref="F1361" r:id="rId1695" xr:uid="{00000000-0004-0000-0200-00009E060000}"/>
    <hyperlink ref="S1361" r:id="rId1696" xr:uid="{00000000-0004-0000-0200-00009F060000}"/>
    <hyperlink ref="S1362" r:id="rId1697" xr:uid="{00000000-0004-0000-0200-0000A0060000}"/>
    <hyperlink ref="F1363" r:id="rId1698" xr:uid="{00000000-0004-0000-0200-0000A1060000}"/>
    <hyperlink ref="F1364" r:id="rId1699" xr:uid="{00000000-0004-0000-0200-0000A2060000}"/>
    <hyperlink ref="G1365" r:id="rId1700" xr:uid="{00000000-0004-0000-0200-0000A3060000}"/>
    <hyperlink ref="G1366" r:id="rId1701" xr:uid="{00000000-0004-0000-0200-0000A4060000}"/>
    <hyperlink ref="S1369" r:id="rId1702" xr:uid="{00000000-0004-0000-0200-0000A5060000}"/>
    <hyperlink ref="F1370" r:id="rId1703" xr:uid="{00000000-0004-0000-0200-0000A6060000}"/>
    <hyperlink ref="G1370" r:id="rId1704" xr:uid="{00000000-0004-0000-0200-0000A7060000}"/>
    <hyperlink ref="F1371" r:id="rId1705" xr:uid="{00000000-0004-0000-0200-0000A8060000}"/>
    <hyperlink ref="F1372" r:id="rId1706" xr:uid="{00000000-0004-0000-0200-0000A9060000}"/>
    <hyperlink ref="G1372" r:id="rId1707" xr:uid="{00000000-0004-0000-0200-0000AA060000}"/>
    <hyperlink ref="S1372" r:id="rId1708" xr:uid="{00000000-0004-0000-0200-0000AB060000}"/>
    <hyperlink ref="F1373" r:id="rId1709" xr:uid="{00000000-0004-0000-0200-0000AC060000}"/>
    <hyperlink ref="S1373" r:id="rId1710" xr:uid="{00000000-0004-0000-0200-0000AD060000}"/>
    <hyperlink ref="F1374" r:id="rId1711" xr:uid="{00000000-0004-0000-0200-0000AE060000}"/>
    <hyperlink ref="F1375" r:id="rId1712" xr:uid="{00000000-0004-0000-0200-0000AF060000}"/>
    <hyperlink ref="S1376" r:id="rId1713" xr:uid="{00000000-0004-0000-0200-0000B0060000}"/>
    <hyperlink ref="G1377" r:id="rId1714" xr:uid="{00000000-0004-0000-0200-0000B1060000}"/>
    <hyperlink ref="S1377" r:id="rId1715" xr:uid="{00000000-0004-0000-0200-0000B2060000}"/>
    <hyperlink ref="F1380" r:id="rId1716" location="?ref=rss&amp;format=simple&amp;link=link" xr:uid="{00000000-0004-0000-0200-0000B3060000}"/>
    <hyperlink ref="S1380" r:id="rId1717" xr:uid="{00000000-0004-0000-0200-0000B4060000}"/>
    <hyperlink ref="F1381" r:id="rId1718" xr:uid="{00000000-0004-0000-0200-0000B5060000}"/>
    <hyperlink ref="S1381" r:id="rId1719" xr:uid="{00000000-0004-0000-0200-0000B6060000}"/>
    <hyperlink ref="F1382" r:id="rId1720" xr:uid="{00000000-0004-0000-0200-0000B7060000}"/>
    <hyperlink ref="S1382" r:id="rId1721" xr:uid="{00000000-0004-0000-0200-0000B8060000}"/>
    <hyperlink ref="F1383" r:id="rId1722" xr:uid="{00000000-0004-0000-0200-0000B9060000}"/>
    <hyperlink ref="F1386" r:id="rId1723" xr:uid="{00000000-0004-0000-0200-0000BA060000}"/>
    <hyperlink ref="F1387" r:id="rId1724" xr:uid="{00000000-0004-0000-0200-0000BB060000}"/>
    <hyperlink ref="F1388" r:id="rId1725" xr:uid="{00000000-0004-0000-0200-0000BC060000}"/>
    <hyperlink ref="G1388" r:id="rId1726" xr:uid="{00000000-0004-0000-0200-0000BD060000}"/>
    <hyperlink ref="S1388" r:id="rId1727" xr:uid="{00000000-0004-0000-0200-0000BE060000}"/>
    <hyperlink ref="F1389" r:id="rId1728" xr:uid="{00000000-0004-0000-0200-0000BF060000}"/>
    <hyperlink ref="S1389" r:id="rId1729" xr:uid="{00000000-0004-0000-0200-0000C0060000}"/>
    <hyperlink ref="F1390" r:id="rId1730" xr:uid="{00000000-0004-0000-0200-0000C1060000}"/>
    <hyperlink ref="S1391" r:id="rId1731" xr:uid="{00000000-0004-0000-0200-0000C2060000}"/>
    <hyperlink ref="F1392" r:id="rId1732" xr:uid="{00000000-0004-0000-0200-0000C3060000}"/>
    <hyperlink ref="F1393" r:id="rId1733" xr:uid="{00000000-0004-0000-0200-0000C4060000}"/>
    <hyperlink ref="S1393" r:id="rId1734" xr:uid="{00000000-0004-0000-0200-0000C5060000}"/>
    <hyperlink ref="S1394" r:id="rId1735" xr:uid="{00000000-0004-0000-0200-0000C6060000}"/>
    <hyperlink ref="F1395" r:id="rId1736" xr:uid="{00000000-0004-0000-0200-0000C7060000}"/>
    <hyperlink ref="F1396" r:id="rId1737" xr:uid="{00000000-0004-0000-0200-0000C8060000}"/>
    <hyperlink ref="S1396" r:id="rId1738" xr:uid="{00000000-0004-0000-0200-0000C9060000}"/>
    <hyperlink ref="F1397" r:id="rId1739" location=".W_Ot6gieM_E.twitter" xr:uid="{00000000-0004-0000-0200-0000CA060000}"/>
    <hyperlink ref="S1397" r:id="rId1740" xr:uid="{00000000-0004-0000-0200-0000CB060000}"/>
    <hyperlink ref="F1398" r:id="rId1741" xr:uid="{00000000-0004-0000-0200-0000CC060000}"/>
    <hyperlink ref="S1399" r:id="rId1742" xr:uid="{00000000-0004-0000-0200-0000CD060000}"/>
    <hyperlink ref="F1400" r:id="rId1743" xr:uid="{00000000-0004-0000-0200-0000CE060000}"/>
    <hyperlink ref="S1400" r:id="rId1744" xr:uid="{00000000-0004-0000-0200-0000CF060000}"/>
    <hyperlink ref="F1401" r:id="rId1745" xr:uid="{00000000-0004-0000-0200-0000D0060000}"/>
    <hyperlink ref="R1401" r:id="rId1746" xr:uid="{00000000-0004-0000-0200-0000D1060000}"/>
    <hyperlink ref="S1401" r:id="rId1747" xr:uid="{00000000-0004-0000-0200-0000D2060000}"/>
    <hyperlink ref="F1403" r:id="rId1748" xr:uid="{00000000-0004-0000-0200-0000D3060000}"/>
    <hyperlink ref="G1403" r:id="rId1749" xr:uid="{00000000-0004-0000-0200-0000D4060000}"/>
    <hyperlink ref="S1403" r:id="rId1750" xr:uid="{00000000-0004-0000-0200-0000D5060000}"/>
    <hyperlink ref="G1404" r:id="rId1751" xr:uid="{00000000-0004-0000-0200-0000D6060000}"/>
    <hyperlink ref="F1405" r:id="rId1752" xr:uid="{00000000-0004-0000-0200-0000D7060000}"/>
    <hyperlink ref="S1405" r:id="rId1753" xr:uid="{00000000-0004-0000-0200-0000D8060000}"/>
    <hyperlink ref="C1406" r:id="rId1754" xr:uid="{00000000-0004-0000-0200-0000D9060000}"/>
    <hyperlink ref="F1406" r:id="rId1755" xr:uid="{00000000-0004-0000-0200-0000DA060000}"/>
    <hyperlink ref="S1406" r:id="rId1756" xr:uid="{00000000-0004-0000-0200-0000DB060000}"/>
    <hyperlink ref="F1408" r:id="rId1757" xr:uid="{00000000-0004-0000-0200-0000DC060000}"/>
    <hyperlink ref="F1409" r:id="rId1758" xr:uid="{00000000-0004-0000-0200-0000DD060000}"/>
    <hyperlink ref="G1409" r:id="rId1759" xr:uid="{00000000-0004-0000-0200-0000DE060000}"/>
    <hyperlink ref="F1410" r:id="rId1760" location=".W_Nm17bSyMs.twitter" xr:uid="{00000000-0004-0000-0200-0000DF060000}"/>
    <hyperlink ref="F1411" r:id="rId1761" xr:uid="{00000000-0004-0000-0200-0000E0060000}"/>
    <hyperlink ref="S1411" r:id="rId1762" xr:uid="{00000000-0004-0000-0200-0000E1060000}"/>
    <hyperlink ref="F1412" r:id="rId1763" location=".W_NeRqqq6ok.facebook" xr:uid="{00000000-0004-0000-0200-0000E2060000}"/>
    <hyperlink ref="F1413" r:id="rId1764" xr:uid="{00000000-0004-0000-0200-0000E3060000}"/>
    <hyperlink ref="F1414" r:id="rId1765" xr:uid="{00000000-0004-0000-0200-0000E4060000}"/>
    <hyperlink ref="C1415" r:id="rId1766" xr:uid="{00000000-0004-0000-0200-0000E5060000}"/>
    <hyperlink ref="F1415" r:id="rId1767" xr:uid="{00000000-0004-0000-0200-0000E6060000}"/>
    <hyperlink ref="G1415" r:id="rId1768" xr:uid="{00000000-0004-0000-0200-0000E7060000}"/>
    <hyperlink ref="S1415" r:id="rId1769" xr:uid="{00000000-0004-0000-0200-0000E8060000}"/>
    <hyperlink ref="S1416" r:id="rId1770" xr:uid="{00000000-0004-0000-0200-0000E9060000}"/>
    <hyperlink ref="F1420" r:id="rId1771" xr:uid="{00000000-0004-0000-0200-0000EA060000}"/>
    <hyperlink ref="G1421" r:id="rId1772" xr:uid="{00000000-0004-0000-0200-0000EB060000}"/>
    <hyperlink ref="F1422" r:id="rId1773" xr:uid="{00000000-0004-0000-0200-0000EC060000}"/>
    <hyperlink ref="F1424" r:id="rId1774" xr:uid="{00000000-0004-0000-0200-0000ED060000}"/>
    <hyperlink ref="G1428" r:id="rId1775" xr:uid="{00000000-0004-0000-0200-0000EE060000}"/>
    <hyperlink ref="G1429" r:id="rId1776" xr:uid="{00000000-0004-0000-0200-0000EF060000}"/>
    <hyperlink ref="F1430" r:id="rId1777" xr:uid="{00000000-0004-0000-0200-0000F0060000}"/>
    <hyperlink ref="F1431" r:id="rId1778" xr:uid="{00000000-0004-0000-0200-0000F1060000}"/>
    <hyperlink ref="F1432" r:id="rId1779" xr:uid="{00000000-0004-0000-0200-0000F2060000}"/>
    <hyperlink ref="S1432" r:id="rId1780" xr:uid="{00000000-0004-0000-0200-0000F3060000}"/>
    <hyperlink ref="S1433" r:id="rId1781" xr:uid="{00000000-0004-0000-0200-0000F4060000}"/>
    <hyperlink ref="S1434" r:id="rId1782" xr:uid="{00000000-0004-0000-0200-0000F5060000}"/>
    <hyperlink ref="F1435" r:id="rId1783" xr:uid="{00000000-0004-0000-0200-0000F6060000}"/>
    <hyperlink ref="F1436" r:id="rId1784" xr:uid="{00000000-0004-0000-0200-0000F7060000}"/>
    <hyperlink ref="S1438" r:id="rId1785" xr:uid="{00000000-0004-0000-0200-0000F8060000}"/>
    <hyperlink ref="F1439" r:id="rId1786" xr:uid="{00000000-0004-0000-0200-0000F9060000}"/>
    <hyperlink ref="F1443" r:id="rId1787" xr:uid="{00000000-0004-0000-0200-0000FA060000}"/>
    <hyperlink ref="F1444" r:id="rId1788" xr:uid="{00000000-0004-0000-0200-0000FB060000}"/>
    <hyperlink ref="F1445" r:id="rId1789" xr:uid="{00000000-0004-0000-0200-0000FC060000}"/>
    <hyperlink ref="S1445" r:id="rId1790" xr:uid="{00000000-0004-0000-0200-0000FD060000}"/>
    <hyperlink ref="S1447" r:id="rId1791" xr:uid="{00000000-0004-0000-0200-0000FE060000}"/>
    <hyperlink ref="F1448" r:id="rId1792" xr:uid="{00000000-0004-0000-0200-0000FF060000}"/>
    <hyperlink ref="G1449" r:id="rId1793" xr:uid="{00000000-0004-0000-0200-000000070000}"/>
    <hyperlink ref="S1449" r:id="rId1794" xr:uid="{00000000-0004-0000-0200-000001070000}"/>
    <hyperlink ref="F1450" r:id="rId1795" xr:uid="{00000000-0004-0000-0200-000002070000}"/>
    <hyperlink ref="S1450" r:id="rId1796" xr:uid="{00000000-0004-0000-0200-000003070000}"/>
    <hyperlink ref="F1454" r:id="rId1797" location=".W_M0vntFsk0.twitter" xr:uid="{00000000-0004-0000-0200-000004070000}"/>
    <hyperlink ref="F1455" r:id="rId1798" xr:uid="{00000000-0004-0000-0200-000005070000}"/>
    <hyperlink ref="G1455" r:id="rId1799" xr:uid="{00000000-0004-0000-0200-000006070000}"/>
    <hyperlink ref="S1455" r:id="rId1800" xr:uid="{00000000-0004-0000-0200-000007070000}"/>
    <hyperlink ref="F1456" r:id="rId1801" xr:uid="{00000000-0004-0000-0200-000008070000}"/>
    <hyperlink ref="G1456" r:id="rId1802" xr:uid="{00000000-0004-0000-0200-000009070000}"/>
    <hyperlink ref="F1457" r:id="rId1803" xr:uid="{00000000-0004-0000-0200-00000A070000}"/>
    <hyperlink ref="G1457" r:id="rId1804" xr:uid="{00000000-0004-0000-0200-00000B070000}"/>
    <hyperlink ref="F1459" r:id="rId1805" xr:uid="{00000000-0004-0000-0200-00000C070000}"/>
    <hyperlink ref="S1459" r:id="rId1806" xr:uid="{00000000-0004-0000-0200-00000D070000}"/>
    <hyperlink ref="F1460" r:id="rId1807" xr:uid="{00000000-0004-0000-0200-00000E070000}"/>
    <hyperlink ref="S1461" r:id="rId1808" xr:uid="{00000000-0004-0000-0200-00000F070000}"/>
    <hyperlink ref="G1463" r:id="rId1809" xr:uid="{00000000-0004-0000-0200-000010070000}"/>
    <hyperlink ref="S1463" r:id="rId1810" xr:uid="{00000000-0004-0000-0200-000011070000}"/>
    <hyperlink ref="F1464" r:id="rId1811" xr:uid="{00000000-0004-0000-0200-000012070000}"/>
    <hyperlink ref="G1465" r:id="rId1812" xr:uid="{00000000-0004-0000-0200-000013070000}"/>
    <hyperlink ref="F1467" r:id="rId1813" xr:uid="{00000000-0004-0000-0200-000014070000}"/>
    <hyperlink ref="F1468" r:id="rId1814" xr:uid="{00000000-0004-0000-0200-000015070000}"/>
    <hyperlink ref="S1468" r:id="rId1815" xr:uid="{00000000-0004-0000-0200-000016070000}"/>
    <hyperlink ref="F1470" r:id="rId1816" xr:uid="{00000000-0004-0000-0200-000017070000}"/>
    <hyperlink ref="S1470" r:id="rId1817" xr:uid="{00000000-0004-0000-0200-000018070000}"/>
    <hyperlink ref="F1471" r:id="rId1818" xr:uid="{00000000-0004-0000-0200-000019070000}"/>
    <hyperlink ref="S1471" r:id="rId1819" xr:uid="{00000000-0004-0000-0200-00001A070000}"/>
    <hyperlink ref="F1472" r:id="rId1820" xr:uid="{00000000-0004-0000-0200-00001B070000}"/>
    <hyperlink ref="F1473" r:id="rId1821" xr:uid="{00000000-0004-0000-0200-00001C070000}"/>
    <hyperlink ref="F1474" r:id="rId1822" xr:uid="{00000000-0004-0000-0200-00001D070000}"/>
    <hyperlink ref="S1474" r:id="rId1823" xr:uid="{00000000-0004-0000-0200-00001E070000}"/>
    <hyperlink ref="F1475" r:id="rId1824" xr:uid="{00000000-0004-0000-0200-00001F070000}"/>
    <hyperlink ref="S1475" r:id="rId1825" xr:uid="{00000000-0004-0000-0200-000020070000}"/>
    <hyperlink ref="S1476" r:id="rId1826" xr:uid="{00000000-0004-0000-0200-000021070000}"/>
    <hyperlink ref="F1477" r:id="rId1827" xr:uid="{00000000-0004-0000-0200-000022070000}"/>
    <hyperlink ref="F1478" r:id="rId1828" xr:uid="{00000000-0004-0000-0200-000023070000}"/>
    <hyperlink ref="S1478" r:id="rId1829" xr:uid="{00000000-0004-0000-0200-000024070000}"/>
    <hyperlink ref="S1479" r:id="rId1830" xr:uid="{00000000-0004-0000-0200-000025070000}"/>
    <hyperlink ref="F1480" r:id="rId1831" xr:uid="{00000000-0004-0000-0200-000026070000}"/>
    <hyperlink ref="S1480" r:id="rId1832" xr:uid="{00000000-0004-0000-0200-000027070000}"/>
    <hyperlink ref="G1481" r:id="rId1833" xr:uid="{00000000-0004-0000-0200-000028070000}"/>
    <hyperlink ref="F1482" r:id="rId1834" xr:uid="{00000000-0004-0000-0200-000029070000}"/>
    <hyperlink ref="F1483" r:id="rId1835" xr:uid="{00000000-0004-0000-0200-00002A070000}"/>
    <hyperlink ref="S1483" r:id="rId1836" xr:uid="{00000000-0004-0000-0200-00002B070000}"/>
    <hyperlink ref="G1484" r:id="rId1837" xr:uid="{00000000-0004-0000-0200-00002C070000}"/>
    <hyperlink ref="S1484" r:id="rId1838" xr:uid="{00000000-0004-0000-0200-00002D070000}"/>
    <hyperlink ref="G1485" r:id="rId1839" xr:uid="{00000000-0004-0000-0200-00002E070000}"/>
    <hyperlink ref="S1485" r:id="rId1840" xr:uid="{00000000-0004-0000-0200-00002F070000}"/>
    <hyperlink ref="F1486" r:id="rId1841" xr:uid="{00000000-0004-0000-0200-000030070000}"/>
    <hyperlink ref="G1486" r:id="rId1842" xr:uid="{00000000-0004-0000-0200-000031070000}"/>
    <hyperlink ref="S1488" r:id="rId1843" xr:uid="{00000000-0004-0000-0200-000032070000}"/>
    <hyperlink ref="F1489" r:id="rId1844" xr:uid="{00000000-0004-0000-0200-000033070000}"/>
    <hyperlink ref="G1489" r:id="rId1845" xr:uid="{00000000-0004-0000-0200-000034070000}"/>
    <hyperlink ref="G1491" r:id="rId1846" xr:uid="{00000000-0004-0000-0200-000035070000}"/>
    <hyperlink ref="F1492" r:id="rId1847" xr:uid="{00000000-0004-0000-0200-000036070000}"/>
    <hyperlink ref="S1492" r:id="rId1848" xr:uid="{00000000-0004-0000-0200-000037070000}"/>
    <hyperlink ref="S1498" r:id="rId1849" xr:uid="{00000000-0004-0000-0200-000038070000}"/>
    <hyperlink ref="S1500" r:id="rId1850" xr:uid="{00000000-0004-0000-0200-000039070000}"/>
    <hyperlink ref="F1502" r:id="rId1851" xr:uid="{00000000-0004-0000-0200-00003A070000}"/>
    <hyperlink ref="G1502" r:id="rId1852" xr:uid="{00000000-0004-0000-0200-00003B070000}"/>
    <hyperlink ref="S1502" r:id="rId1853" xr:uid="{00000000-0004-0000-0200-00003C070000}"/>
    <hyperlink ref="S1503" r:id="rId1854" xr:uid="{00000000-0004-0000-0200-00003D070000}"/>
    <hyperlink ref="S1505" r:id="rId1855" xr:uid="{00000000-0004-0000-0200-00003E070000}"/>
    <hyperlink ref="F1506" r:id="rId1856" xr:uid="{00000000-0004-0000-0200-00003F070000}"/>
    <hyperlink ref="S1509" r:id="rId1857" xr:uid="{00000000-0004-0000-0200-000040070000}"/>
    <hyperlink ref="S1513" r:id="rId1858" xr:uid="{00000000-0004-0000-0200-000041070000}"/>
    <hyperlink ref="F1516" r:id="rId1859" xr:uid="{00000000-0004-0000-0200-000042070000}"/>
    <hyperlink ref="G1516" r:id="rId1860" xr:uid="{00000000-0004-0000-0200-000043070000}"/>
    <hyperlink ref="S1516" r:id="rId1861" xr:uid="{00000000-0004-0000-0200-000044070000}"/>
    <hyperlink ref="F1518" r:id="rId1862" xr:uid="{00000000-0004-0000-0200-000045070000}"/>
    <hyperlink ref="S1518" r:id="rId1863" xr:uid="{00000000-0004-0000-0200-000046070000}"/>
    <hyperlink ref="F1519" r:id="rId1864" xr:uid="{00000000-0004-0000-0200-000047070000}"/>
    <hyperlink ref="S1519" r:id="rId1865" xr:uid="{00000000-0004-0000-0200-000048070000}"/>
    <hyperlink ref="S1521" r:id="rId1866" xr:uid="{00000000-0004-0000-0200-000049070000}"/>
    <hyperlink ref="F1523" r:id="rId1867" xr:uid="{00000000-0004-0000-0200-00004A070000}"/>
    <hyperlink ref="S1523" r:id="rId1868" xr:uid="{00000000-0004-0000-0200-00004B070000}"/>
    <hyperlink ref="F1526" r:id="rId1869" xr:uid="{00000000-0004-0000-0200-00004C070000}"/>
    <hyperlink ref="G1529" r:id="rId1870" xr:uid="{00000000-0004-0000-0200-00004D070000}"/>
    <hyperlink ref="S1529" r:id="rId1871" xr:uid="{00000000-0004-0000-0200-00004E070000}"/>
    <hyperlink ref="F1530" r:id="rId1872" xr:uid="{00000000-0004-0000-0200-00004F070000}"/>
    <hyperlink ref="S1530" r:id="rId1873" xr:uid="{00000000-0004-0000-0200-000050070000}"/>
    <hyperlink ref="F1531" r:id="rId1874" xr:uid="{00000000-0004-0000-0200-000051070000}"/>
    <hyperlink ref="F1532" r:id="rId1875" xr:uid="{00000000-0004-0000-0200-000052070000}"/>
    <hyperlink ref="G1532" r:id="rId1876" xr:uid="{00000000-0004-0000-0200-000053070000}"/>
    <hyperlink ref="S1533" r:id="rId1877" xr:uid="{00000000-0004-0000-0200-000054070000}"/>
    <hyperlink ref="S1534" r:id="rId1878" xr:uid="{00000000-0004-0000-0200-000055070000}"/>
    <hyperlink ref="G1535" r:id="rId1879" xr:uid="{00000000-0004-0000-0200-000056070000}"/>
    <hyperlink ref="F1537" r:id="rId1880" location=".W_MY85Hm1UM.twitter" xr:uid="{00000000-0004-0000-0200-000057070000}"/>
    <hyperlink ref="R1537" r:id="rId1881" xr:uid="{00000000-0004-0000-0200-000058070000}"/>
    <hyperlink ref="S1537" r:id="rId1882" xr:uid="{00000000-0004-0000-0200-000059070000}"/>
    <hyperlink ref="F1538" r:id="rId1883" xr:uid="{00000000-0004-0000-0200-00005A070000}"/>
    <hyperlink ref="S1540" r:id="rId1884" xr:uid="{00000000-0004-0000-0200-00005B070000}"/>
    <hyperlink ref="F1541" r:id="rId1885" xr:uid="{00000000-0004-0000-0200-00005C070000}"/>
    <hyperlink ref="S1541" r:id="rId1886" xr:uid="{00000000-0004-0000-0200-00005D070000}"/>
    <hyperlink ref="F1542" r:id="rId1887" xr:uid="{00000000-0004-0000-0200-00005E070000}"/>
    <hyperlink ref="S1542" r:id="rId1888" xr:uid="{00000000-0004-0000-0200-00005F070000}"/>
    <hyperlink ref="F1543" r:id="rId1889" xr:uid="{00000000-0004-0000-0200-000060070000}"/>
    <hyperlink ref="S1543" r:id="rId1890" xr:uid="{00000000-0004-0000-0200-000061070000}"/>
    <hyperlink ref="F1544" r:id="rId1891" xr:uid="{00000000-0004-0000-0200-000062070000}"/>
    <hyperlink ref="G1544" r:id="rId1892" xr:uid="{00000000-0004-0000-0200-000063070000}"/>
    <hyperlink ref="S1544" r:id="rId1893" xr:uid="{00000000-0004-0000-0200-000064070000}"/>
    <hyperlink ref="F1545" r:id="rId1894" xr:uid="{00000000-0004-0000-0200-000065070000}"/>
    <hyperlink ref="S1545" r:id="rId1895" xr:uid="{00000000-0004-0000-0200-000066070000}"/>
    <hyperlink ref="F1546" r:id="rId1896" xr:uid="{00000000-0004-0000-0200-000067070000}"/>
    <hyperlink ref="S1546" r:id="rId1897" xr:uid="{00000000-0004-0000-0200-000068070000}"/>
    <hyperlink ref="F1547" r:id="rId1898" xr:uid="{00000000-0004-0000-0200-000069070000}"/>
    <hyperlink ref="S1547" r:id="rId1899" xr:uid="{00000000-0004-0000-0200-00006A070000}"/>
    <hyperlink ref="F1548" r:id="rId1900" xr:uid="{00000000-0004-0000-0200-00006B070000}"/>
    <hyperlink ref="S1548" r:id="rId1901" xr:uid="{00000000-0004-0000-0200-00006C070000}"/>
    <hyperlink ref="F1549" r:id="rId1902" xr:uid="{00000000-0004-0000-0200-00006D070000}"/>
    <hyperlink ref="F1550" r:id="rId1903" xr:uid="{00000000-0004-0000-0200-00006E070000}"/>
    <hyperlink ref="S1550" r:id="rId1904" xr:uid="{00000000-0004-0000-0200-00006F070000}"/>
    <hyperlink ref="S1551" r:id="rId1905" xr:uid="{00000000-0004-0000-0200-000070070000}"/>
    <hyperlink ref="F1552" r:id="rId1906" xr:uid="{00000000-0004-0000-0200-000071070000}"/>
    <hyperlink ref="S1552" r:id="rId1907" xr:uid="{00000000-0004-0000-0200-000072070000}"/>
    <hyperlink ref="F1553" r:id="rId1908" xr:uid="{00000000-0004-0000-0200-000073070000}"/>
    <hyperlink ref="S1553" r:id="rId1909" xr:uid="{00000000-0004-0000-0200-000074070000}"/>
    <hyperlink ref="F1556" r:id="rId1910" xr:uid="{00000000-0004-0000-0200-000075070000}"/>
    <hyperlink ref="F1557" r:id="rId1911" xr:uid="{00000000-0004-0000-0200-000076070000}"/>
    <hyperlink ref="S1557" r:id="rId1912" xr:uid="{00000000-0004-0000-0200-000077070000}"/>
    <hyperlink ref="S1558" r:id="rId1913" xr:uid="{00000000-0004-0000-0200-000078070000}"/>
    <hyperlink ref="F1562" r:id="rId1914" xr:uid="{00000000-0004-0000-0200-000079070000}"/>
    <hyperlink ref="S1562" r:id="rId1915" xr:uid="{00000000-0004-0000-0200-00007A070000}"/>
    <hyperlink ref="G1567" r:id="rId1916" xr:uid="{00000000-0004-0000-0200-00007B070000}"/>
    <hyperlink ref="F1568" r:id="rId1917" xr:uid="{00000000-0004-0000-0200-00007C070000}"/>
    <hyperlink ref="F1569" r:id="rId1918" xr:uid="{00000000-0004-0000-0200-00007D070000}"/>
    <hyperlink ref="S1569" r:id="rId1919" xr:uid="{00000000-0004-0000-0200-00007E070000}"/>
    <hyperlink ref="F1570" r:id="rId1920" xr:uid="{00000000-0004-0000-0200-00007F070000}"/>
    <hyperlink ref="F1571" r:id="rId1921" xr:uid="{00000000-0004-0000-0200-000080070000}"/>
    <hyperlink ref="F1572" r:id="rId1922" xr:uid="{00000000-0004-0000-0200-000081070000}"/>
    <hyperlink ref="S1572" r:id="rId1923" xr:uid="{00000000-0004-0000-0200-000082070000}"/>
    <hyperlink ref="F1575" r:id="rId1924" xr:uid="{00000000-0004-0000-0200-000083070000}"/>
    <hyperlink ref="F1576" r:id="rId1925" location=".W_MDdi4yZSo.twitter" xr:uid="{00000000-0004-0000-0200-000084070000}"/>
    <hyperlink ref="F1580" r:id="rId1926" xr:uid="{00000000-0004-0000-0200-000085070000}"/>
    <hyperlink ref="S1580" r:id="rId1927" xr:uid="{00000000-0004-0000-0200-000086070000}"/>
    <hyperlink ref="S1582" r:id="rId1928" xr:uid="{00000000-0004-0000-0200-000087070000}"/>
    <hyperlink ref="F1583" r:id="rId1929" xr:uid="{00000000-0004-0000-0200-000088070000}"/>
    <hyperlink ref="F1584" r:id="rId1930" xr:uid="{00000000-0004-0000-0200-000089070000}"/>
    <hyperlink ref="S1585" r:id="rId1931" xr:uid="{00000000-0004-0000-0200-00008A070000}"/>
    <hyperlink ref="G1587" r:id="rId1932" xr:uid="{00000000-0004-0000-0200-00008B070000}"/>
    <hyperlink ref="S1587" r:id="rId1933" xr:uid="{00000000-0004-0000-0200-00008C070000}"/>
    <hyperlink ref="S1588" r:id="rId1934" xr:uid="{00000000-0004-0000-0200-00008D070000}"/>
    <hyperlink ref="G1589" r:id="rId1935" xr:uid="{00000000-0004-0000-0200-00008E070000}"/>
    <hyperlink ref="F1592" r:id="rId1936" xr:uid="{00000000-0004-0000-0200-00008F070000}"/>
    <hyperlink ref="S1593" r:id="rId1937" xr:uid="{00000000-0004-0000-0200-000090070000}"/>
    <hyperlink ref="S1594" r:id="rId1938" xr:uid="{00000000-0004-0000-0200-000091070000}"/>
    <hyperlink ref="F1595" r:id="rId1939" location=".W_L8-9LSUdA.twitter" xr:uid="{00000000-0004-0000-0200-000092070000}"/>
    <hyperlink ref="S1596" r:id="rId1940" xr:uid="{00000000-0004-0000-0200-000093070000}"/>
    <hyperlink ref="F1597" r:id="rId1941" xr:uid="{00000000-0004-0000-0200-000094070000}"/>
    <hyperlink ref="S1598" r:id="rId1942" xr:uid="{00000000-0004-0000-0200-000095070000}"/>
    <hyperlink ref="S1599" r:id="rId1943" xr:uid="{00000000-0004-0000-0200-000096070000}"/>
    <hyperlink ref="F1600" r:id="rId1944" xr:uid="{00000000-0004-0000-0200-000097070000}"/>
    <hyperlink ref="S1600" r:id="rId1945" xr:uid="{00000000-0004-0000-0200-000098070000}"/>
    <hyperlink ref="G1601" r:id="rId1946" xr:uid="{00000000-0004-0000-0200-000099070000}"/>
    <hyperlink ref="S1601" r:id="rId1947" xr:uid="{00000000-0004-0000-0200-00009A070000}"/>
    <hyperlink ref="F1602" r:id="rId1948" xr:uid="{00000000-0004-0000-0200-00009B070000}"/>
    <hyperlink ref="G1603" r:id="rId1949" xr:uid="{00000000-0004-0000-0200-00009C070000}"/>
    <hyperlink ref="S1603" r:id="rId1950" xr:uid="{00000000-0004-0000-0200-00009D070000}"/>
    <hyperlink ref="G1604" r:id="rId1951" xr:uid="{00000000-0004-0000-0200-00009E070000}"/>
    <hyperlink ref="S1604" r:id="rId1952" xr:uid="{00000000-0004-0000-0200-00009F070000}"/>
    <hyperlink ref="F1606" r:id="rId1953" xr:uid="{00000000-0004-0000-0200-0000A0070000}"/>
    <hyperlink ref="S1606" r:id="rId1954" xr:uid="{00000000-0004-0000-0200-0000A1070000}"/>
    <hyperlink ref="F1607" r:id="rId1955" xr:uid="{00000000-0004-0000-0200-0000A2070000}"/>
    <hyperlink ref="F1610" r:id="rId1956" xr:uid="{00000000-0004-0000-0200-0000A3070000}"/>
    <hyperlink ref="F1611" r:id="rId1957" xr:uid="{00000000-0004-0000-0200-0000A4070000}"/>
    <hyperlink ref="F1612" r:id="rId1958" xr:uid="{00000000-0004-0000-0200-0000A5070000}"/>
    <hyperlink ref="G1614" r:id="rId1959" xr:uid="{00000000-0004-0000-0200-0000A6070000}"/>
    <hyperlink ref="S1615" r:id="rId1960" xr:uid="{00000000-0004-0000-0200-0000A7070000}"/>
    <hyperlink ref="G1616" r:id="rId1961" xr:uid="{00000000-0004-0000-0200-0000A8070000}"/>
    <hyperlink ref="S1616" r:id="rId1962" xr:uid="{00000000-0004-0000-0200-0000A9070000}"/>
    <hyperlink ref="G1618" r:id="rId1963" xr:uid="{00000000-0004-0000-0200-0000AA070000}"/>
    <hyperlink ref="G1619" r:id="rId1964" xr:uid="{00000000-0004-0000-0200-0000AB070000}"/>
    <hyperlink ref="S1619" r:id="rId1965" xr:uid="{00000000-0004-0000-0200-0000AC070000}"/>
    <hyperlink ref="F1620" r:id="rId1966" xr:uid="{00000000-0004-0000-0200-0000AD070000}"/>
    <hyperlink ref="G1620" r:id="rId1967" xr:uid="{00000000-0004-0000-0200-0000AE070000}"/>
    <hyperlink ref="F1621" r:id="rId1968" xr:uid="{00000000-0004-0000-0200-0000AF070000}"/>
    <hyperlink ref="F1622" r:id="rId1969" xr:uid="{00000000-0004-0000-0200-0000B0070000}"/>
    <hyperlink ref="F1624" r:id="rId1970" xr:uid="{00000000-0004-0000-0200-0000B1070000}"/>
    <hyperlink ref="G1624" r:id="rId1971" xr:uid="{00000000-0004-0000-0200-0000B2070000}"/>
    <hyperlink ref="S1625" r:id="rId1972" xr:uid="{00000000-0004-0000-0200-0000B3070000}"/>
    <hyperlink ref="F1626" r:id="rId1973" xr:uid="{00000000-0004-0000-0200-0000B4070000}"/>
    <hyperlink ref="S1626" r:id="rId1974" xr:uid="{00000000-0004-0000-0200-0000B5070000}"/>
    <hyperlink ref="F1628" r:id="rId1975" xr:uid="{00000000-0004-0000-0200-0000B6070000}"/>
    <hyperlink ref="G1629" r:id="rId1976" xr:uid="{00000000-0004-0000-0200-0000B7070000}"/>
    <hyperlink ref="F1630" r:id="rId1977" xr:uid="{00000000-0004-0000-0200-0000B8070000}"/>
    <hyperlink ref="F1631" r:id="rId1978" xr:uid="{00000000-0004-0000-0200-0000B9070000}"/>
    <hyperlink ref="F1632" r:id="rId1979" xr:uid="{00000000-0004-0000-0200-0000BA070000}"/>
    <hyperlink ref="F1635" r:id="rId1980" xr:uid="{00000000-0004-0000-0200-0000BB070000}"/>
    <hyperlink ref="S1635" r:id="rId1981" xr:uid="{00000000-0004-0000-0200-0000BC070000}"/>
    <hyperlink ref="F1636" r:id="rId1982" location="ns_campaign=rrss-inducido&amp;ns_mchannel=abc-es&amp;ns_source=tw&amp;ns_linkname=noticia-foto&amp;ns_fee=0" xr:uid="{00000000-0004-0000-0200-0000BD070000}"/>
    <hyperlink ref="S1636" r:id="rId1983" xr:uid="{00000000-0004-0000-0200-0000BE070000}"/>
    <hyperlink ref="S1637" r:id="rId1984" xr:uid="{00000000-0004-0000-0200-0000BF070000}"/>
    <hyperlink ref="S1639" r:id="rId1985" xr:uid="{00000000-0004-0000-0200-0000C0070000}"/>
    <hyperlink ref="F1640" r:id="rId1986" xr:uid="{00000000-0004-0000-0200-0000C1070000}"/>
    <hyperlink ref="F1641" r:id="rId1987" xr:uid="{00000000-0004-0000-0200-0000C2070000}"/>
    <hyperlink ref="G1641" r:id="rId1988" xr:uid="{00000000-0004-0000-0200-0000C3070000}"/>
    <hyperlink ref="F1643" r:id="rId1989" xr:uid="{00000000-0004-0000-0200-0000C4070000}"/>
    <hyperlink ref="F1646" r:id="rId1990" xr:uid="{00000000-0004-0000-0200-0000C5070000}"/>
    <hyperlink ref="G1646" r:id="rId1991" xr:uid="{00000000-0004-0000-0200-0000C6070000}"/>
    <hyperlink ref="F1647" r:id="rId1992" xr:uid="{00000000-0004-0000-0200-0000C7070000}"/>
    <hyperlink ref="F1649" r:id="rId1993" xr:uid="{00000000-0004-0000-0200-0000C8070000}"/>
    <hyperlink ref="F1650" r:id="rId1994" xr:uid="{00000000-0004-0000-0200-0000C9070000}"/>
    <hyperlink ref="G1650" r:id="rId1995" xr:uid="{00000000-0004-0000-0200-0000CA070000}"/>
    <hyperlink ref="S1650" r:id="rId1996" xr:uid="{00000000-0004-0000-0200-0000CB070000}"/>
    <hyperlink ref="F1651" r:id="rId1997" xr:uid="{00000000-0004-0000-0200-0000CC070000}"/>
    <hyperlink ref="G1651" r:id="rId1998" xr:uid="{00000000-0004-0000-0200-0000CD070000}"/>
    <hyperlink ref="S1651" r:id="rId1999" xr:uid="{00000000-0004-0000-0200-0000CE070000}"/>
    <hyperlink ref="C1652" r:id="rId2000" xr:uid="{00000000-0004-0000-0200-0000CF070000}"/>
    <hyperlink ref="F1652" r:id="rId2001" xr:uid="{00000000-0004-0000-0200-0000D0070000}"/>
    <hyperlink ref="G1652" r:id="rId2002" xr:uid="{00000000-0004-0000-0200-0000D1070000}"/>
    <hyperlink ref="S1652" r:id="rId2003" xr:uid="{00000000-0004-0000-0200-0000D2070000}"/>
    <hyperlink ref="F1653" r:id="rId2004" xr:uid="{00000000-0004-0000-0200-0000D3070000}"/>
    <hyperlink ref="S1653" r:id="rId2005" xr:uid="{00000000-0004-0000-0200-0000D4070000}"/>
    <hyperlink ref="F1654" r:id="rId2006" xr:uid="{00000000-0004-0000-0200-0000D5070000}"/>
    <hyperlink ref="S1655" r:id="rId2007" xr:uid="{00000000-0004-0000-0200-0000D6070000}"/>
    <hyperlink ref="F1657" r:id="rId2008" xr:uid="{00000000-0004-0000-0200-0000D7070000}"/>
    <hyperlink ref="R1657" r:id="rId2009" xr:uid="{00000000-0004-0000-0200-0000D8070000}"/>
    <hyperlink ref="S1657" r:id="rId2010" xr:uid="{00000000-0004-0000-0200-0000D9070000}"/>
    <hyperlink ref="F1658" r:id="rId2011" xr:uid="{00000000-0004-0000-0200-0000DA070000}"/>
    <hyperlink ref="S1658" r:id="rId2012" xr:uid="{00000000-0004-0000-0200-0000DB070000}"/>
    <hyperlink ref="F1659" r:id="rId2013" xr:uid="{00000000-0004-0000-0200-0000DC070000}"/>
    <hyperlink ref="F1660" r:id="rId2014" location=".W_LR2t4zgyQ.twitter" xr:uid="{00000000-0004-0000-0200-0000DD070000}"/>
    <hyperlink ref="S1662" r:id="rId2015" xr:uid="{00000000-0004-0000-0200-0000DE070000}"/>
    <hyperlink ref="F1663" r:id="rId2016" location=".W_LQnBEy-jI.twitter" xr:uid="{00000000-0004-0000-0200-0000DF070000}"/>
    <hyperlink ref="S1663" r:id="rId2017" xr:uid="{00000000-0004-0000-0200-0000E0070000}"/>
    <hyperlink ref="F1664" r:id="rId2018" xr:uid="{00000000-0004-0000-0200-0000E1070000}"/>
    <hyperlink ref="Q1666" r:id="rId2019" xr:uid="{00000000-0004-0000-0200-0000E2070000}"/>
    <hyperlink ref="S1666" r:id="rId2020" xr:uid="{00000000-0004-0000-0200-0000E3070000}"/>
    <hyperlink ref="F1667" r:id="rId2021" location=".W_LNdWTFe9k.twitter" xr:uid="{00000000-0004-0000-0200-0000E4070000}"/>
    <hyperlink ref="F1668" r:id="rId2022" xr:uid="{00000000-0004-0000-0200-0000E5070000}"/>
    <hyperlink ref="G1669" r:id="rId2023" xr:uid="{00000000-0004-0000-0200-0000E6070000}"/>
    <hyperlink ref="S1669" r:id="rId2024" xr:uid="{00000000-0004-0000-0200-0000E7070000}"/>
    <hyperlink ref="S1670" r:id="rId2025" xr:uid="{00000000-0004-0000-0200-0000E8070000}"/>
    <hyperlink ref="F1671" r:id="rId2026" xr:uid="{00000000-0004-0000-0200-0000E9070000}"/>
    <hyperlink ref="G1675" r:id="rId2027" xr:uid="{00000000-0004-0000-0200-0000EA070000}"/>
    <hyperlink ref="S1675" r:id="rId2028" xr:uid="{00000000-0004-0000-0200-0000EB070000}"/>
    <hyperlink ref="F1676" r:id="rId2029" xr:uid="{00000000-0004-0000-0200-0000EC070000}"/>
    <hyperlink ref="S1676" r:id="rId2030" xr:uid="{00000000-0004-0000-0200-0000ED070000}"/>
    <hyperlink ref="F1678" r:id="rId2031" xr:uid="{00000000-0004-0000-0200-0000EE070000}"/>
    <hyperlink ref="S1678" r:id="rId2032" xr:uid="{00000000-0004-0000-0200-0000EF070000}"/>
    <hyperlink ref="F1679" r:id="rId2033" xr:uid="{00000000-0004-0000-0200-0000F0070000}"/>
    <hyperlink ref="S1679" r:id="rId2034" xr:uid="{00000000-0004-0000-0200-0000F1070000}"/>
    <hyperlink ref="F1681" r:id="rId2035" location=".W_LAfEG7pvQ.twitter" xr:uid="{00000000-0004-0000-0200-0000F2070000}"/>
    <hyperlink ref="F1684" r:id="rId2036" xr:uid="{00000000-0004-0000-0200-0000F3070000}"/>
    <hyperlink ref="F1685" r:id="rId2037" xr:uid="{00000000-0004-0000-0200-0000F4070000}"/>
    <hyperlink ref="S1685" r:id="rId2038" xr:uid="{00000000-0004-0000-0200-0000F5070000}"/>
    <hyperlink ref="G1686" r:id="rId2039" xr:uid="{00000000-0004-0000-0200-0000F6070000}"/>
    <hyperlink ref="S1686" r:id="rId2040" xr:uid="{00000000-0004-0000-0200-0000F7070000}"/>
    <hyperlink ref="F1688" r:id="rId2041" xr:uid="{00000000-0004-0000-0200-0000F8070000}"/>
    <hyperlink ref="F1691" r:id="rId2042" xr:uid="{00000000-0004-0000-0200-0000F9070000}"/>
    <hyperlink ref="F1692" r:id="rId2043" xr:uid="{00000000-0004-0000-0200-0000FA070000}"/>
    <hyperlink ref="S1692" r:id="rId2044" xr:uid="{00000000-0004-0000-0200-0000FB070000}"/>
    <hyperlink ref="F1693" r:id="rId2045" xr:uid="{00000000-0004-0000-0200-0000FC070000}"/>
    <hyperlink ref="F1695" r:id="rId2046" xr:uid="{00000000-0004-0000-0200-0000FD070000}"/>
    <hyperlink ref="G1695" r:id="rId2047" xr:uid="{00000000-0004-0000-0200-0000FE070000}"/>
    <hyperlink ref="S1695" r:id="rId2048" xr:uid="{00000000-0004-0000-0200-0000FF070000}"/>
    <hyperlink ref="G1697" r:id="rId2049" xr:uid="{00000000-0004-0000-0200-000000080000}"/>
    <hyperlink ref="F1698" r:id="rId2050" xr:uid="{00000000-0004-0000-0200-000001080000}"/>
    <hyperlink ref="F1699" r:id="rId2051" xr:uid="{00000000-0004-0000-0200-000002080000}"/>
    <hyperlink ref="F1700" r:id="rId2052" xr:uid="{00000000-0004-0000-0200-000003080000}"/>
    <hyperlink ref="S1700" r:id="rId2053" xr:uid="{00000000-0004-0000-0200-000004080000}"/>
    <hyperlink ref="F1701" r:id="rId2054" xr:uid="{00000000-0004-0000-0200-000005080000}"/>
    <hyperlink ref="F1702" r:id="rId2055" xr:uid="{00000000-0004-0000-0200-000006080000}"/>
    <hyperlink ref="F1703" r:id="rId2056" xr:uid="{00000000-0004-0000-0200-000007080000}"/>
    <hyperlink ref="G1703" r:id="rId2057" xr:uid="{00000000-0004-0000-0200-000008080000}"/>
    <hyperlink ref="S1703" r:id="rId2058" xr:uid="{00000000-0004-0000-0200-000009080000}"/>
    <hyperlink ref="F1704" r:id="rId2059" xr:uid="{00000000-0004-0000-0200-00000A080000}"/>
    <hyperlink ref="F1705" r:id="rId2060" xr:uid="{00000000-0004-0000-0200-00000B080000}"/>
    <hyperlink ref="F1706" r:id="rId2061" xr:uid="{00000000-0004-0000-0200-00000C080000}"/>
    <hyperlink ref="F1707" r:id="rId2062" location=".W_Jqw_8o3HA.facebook" xr:uid="{00000000-0004-0000-0200-00000D080000}"/>
    <hyperlink ref="S1707" r:id="rId2063" xr:uid="{00000000-0004-0000-0200-00000E080000}"/>
    <hyperlink ref="F1708" r:id="rId2064" xr:uid="{00000000-0004-0000-0200-00000F080000}"/>
    <hyperlink ref="S1708" r:id="rId2065" xr:uid="{00000000-0004-0000-0200-000010080000}"/>
    <hyperlink ref="F1709" r:id="rId2066" xr:uid="{00000000-0004-0000-0200-000011080000}"/>
    <hyperlink ref="F1710" r:id="rId2067" xr:uid="{00000000-0004-0000-0200-000012080000}"/>
    <hyperlink ref="F1711" r:id="rId2068" xr:uid="{00000000-0004-0000-0200-000013080000}"/>
    <hyperlink ref="F1712" r:id="rId2069" xr:uid="{00000000-0004-0000-0200-000014080000}"/>
    <hyperlink ref="G1712" r:id="rId2070" xr:uid="{00000000-0004-0000-0200-000015080000}"/>
    <hyperlink ref="S1712" r:id="rId2071" xr:uid="{00000000-0004-0000-0200-000016080000}"/>
    <hyperlink ref="F1713" r:id="rId2072" xr:uid="{00000000-0004-0000-0200-000017080000}"/>
    <hyperlink ref="S1713" r:id="rId2073" xr:uid="{00000000-0004-0000-0200-000018080000}"/>
    <hyperlink ref="G1714" r:id="rId2074" xr:uid="{00000000-0004-0000-0200-000019080000}"/>
    <hyperlink ref="F1715" r:id="rId2075" xr:uid="{00000000-0004-0000-0200-00001A080000}"/>
    <hyperlink ref="F1716" r:id="rId2076" xr:uid="{00000000-0004-0000-0200-00001B080000}"/>
    <hyperlink ref="F1717" r:id="rId2077" xr:uid="{00000000-0004-0000-0200-00001C080000}"/>
    <hyperlink ref="G1717" r:id="rId2078" xr:uid="{00000000-0004-0000-0200-00001D080000}"/>
    <hyperlink ref="F1719" r:id="rId2079" xr:uid="{00000000-0004-0000-0200-00001E080000}"/>
    <hyperlink ref="F1720" r:id="rId2080" xr:uid="{00000000-0004-0000-0200-00001F080000}"/>
    <hyperlink ref="F1721" r:id="rId2081" xr:uid="{00000000-0004-0000-0200-000020080000}"/>
    <hyperlink ref="F1722" r:id="rId2082" xr:uid="{00000000-0004-0000-0200-000021080000}"/>
    <hyperlink ref="F1723" r:id="rId2083" xr:uid="{00000000-0004-0000-0200-000022080000}"/>
    <hyperlink ref="S1723" r:id="rId2084" xr:uid="{00000000-0004-0000-0200-000023080000}"/>
    <hyperlink ref="C1724" r:id="rId2085" xr:uid="{00000000-0004-0000-0200-000024080000}"/>
    <hyperlink ref="F1724" r:id="rId2086" xr:uid="{00000000-0004-0000-0200-000025080000}"/>
    <hyperlink ref="G1724" r:id="rId2087" xr:uid="{00000000-0004-0000-0200-000026080000}"/>
    <hyperlink ref="S1724" r:id="rId2088" xr:uid="{00000000-0004-0000-0200-000027080000}"/>
    <hyperlink ref="F1725" r:id="rId2089" xr:uid="{00000000-0004-0000-0200-000028080000}"/>
    <hyperlink ref="G1725" r:id="rId2090" xr:uid="{00000000-0004-0000-0200-000029080000}"/>
    <hyperlink ref="F1726" r:id="rId2091" xr:uid="{00000000-0004-0000-0200-00002A080000}"/>
    <hyperlink ref="S1726" r:id="rId2092" xr:uid="{00000000-0004-0000-0200-00002B080000}"/>
    <hyperlink ref="F1728" r:id="rId2093" xr:uid="{00000000-0004-0000-0200-00002C080000}"/>
    <hyperlink ref="F1730" r:id="rId2094" xr:uid="{00000000-0004-0000-0200-00002D080000}"/>
    <hyperlink ref="F1731" r:id="rId2095" xr:uid="{00000000-0004-0000-0200-00002E080000}"/>
    <hyperlink ref="S1731" r:id="rId2096" xr:uid="{00000000-0004-0000-0200-00002F080000}"/>
    <hyperlink ref="F1732" r:id="rId2097" location=".W_Kk5rzL5hx.facebook" xr:uid="{00000000-0004-0000-0200-000030080000}"/>
    <hyperlink ref="S1732" r:id="rId2098" xr:uid="{00000000-0004-0000-0200-000031080000}"/>
    <hyperlink ref="F1733" r:id="rId2099" xr:uid="{00000000-0004-0000-0200-000032080000}"/>
    <hyperlink ref="F1734" r:id="rId2100" xr:uid="{00000000-0004-0000-0200-000033080000}"/>
    <hyperlink ref="F1735" r:id="rId2101" xr:uid="{00000000-0004-0000-0200-000034080000}"/>
    <hyperlink ref="G1735" r:id="rId2102" xr:uid="{00000000-0004-0000-0200-000035080000}"/>
    <hyperlink ref="S1735" r:id="rId2103" xr:uid="{00000000-0004-0000-0200-000036080000}"/>
    <hyperlink ref="F1736" r:id="rId2104" xr:uid="{00000000-0004-0000-0200-000037080000}"/>
    <hyperlink ref="S1736" r:id="rId2105" xr:uid="{00000000-0004-0000-0200-000038080000}"/>
    <hyperlink ref="S1738" r:id="rId2106" xr:uid="{00000000-0004-0000-0200-000039080000}"/>
    <hyperlink ref="F1740" r:id="rId2107" xr:uid="{00000000-0004-0000-0200-00003A080000}"/>
    <hyperlink ref="S1740" r:id="rId2108" xr:uid="{00000000-0004-0000-0200-00003B080000}"/>
    <hyperlink ref="F1741" r:id="rId2109" xr:uid="{00000000-0004-0000-0200-00003C080000}"/>
    <hyperlink ref="F1742" r:id="rId2110" xr:uid="{00000000-0004-0000-0200-00003D080000}"/>
    <hyperlink ref="F1743" r:id="rId2111" xr:uid="{00000000-0004-0000-0200-00003E080000}"/>
    <hyperlink ref="S1743" r:id="rId2112" xr:uid="{00000000-0004-0000-0200-00003F080000}"/>
    <hyperlink ref="G1745" r:id="rId2113" xr:uid="{00000000-0004-0000-0200-000040080000}"/>
    <hyperlink ref="S1745" r:id="rId2114" xr:uid="{00000000-0004-0000-0200-000041080000}"/>
    <hyperlink ref="F1746" r:id="rId2115" xr:uid="{00000000-0004-0000-0200-000042080000}"/>
    <hyperlink ref="S1746" r:id="rId2116" xr:uid="{00000000-0004-0000-0200-000043080000}"/>
    <hyperlink ref="F1747" r:id="rId2117" xr:uid="{00000000-0004-0000-0200-000044080000}"/>
    <hyperlink ref="G1747" r:id="rId2118" xr:uid="{00000000-0004-0000-0200-000045080000}"/>
    <hyperlink ref="F1748" r:id="rId2119" xr:uid="{00000000-0004-0000-0200-000046080000}"/>
    <hyperlink ref="F1749" r:id="rId2120" xr:uid="{00000000-0004-0000-0200-000047080000}"/>
    <hyperlink ref="S1749" r:id="rId2121" xr:uid="{00000000-0004-0000-0200-000048080000}"/>
    <hyperlink ref="F1750" r:id="rId2122" xr:uid="{00000000-0004-0000-0200-000049080000}"/>
    <hyperlink ref="S1750" r:id="rId2123" xr:uid="{00000000-0004-0000-0200-00004A080000}"/>
    <hyperlink ref="F1751" r:id="rId2124" xr:uid="{00000000-0004-0000-0200-00004B080000}"/>
    <hyperlink ref="F1752" r:id="rId2125" xr:uid="{00000000-0004-0000-0200-00004C080000}"/>
    <hyperlink ref="S1752" r:id="rId2126" xr:uid="{00000000-0004-0000-0200-00004D080000}"/>
    <hyperlink ref="F1754" r:id="rId2127" xr:uid="{00000000-0004-0000-0200-00004E080000}"/>
    <hyperlink ref="S1754" r:id="rId2128" xr:uid="{00000000-0004-0000-0200-00004F080000}"/>
    <hyperlink ref="F1755" r:id="rId2129" xr:uid="{00000000-0004-0000-0200-000050080000}"/>
    <hyperlink ref="S1755" r:id="rId2130" xr:uid="{00000000-0004-0000-0200-000051080000}"/>
    <hyperlink ref="F1756" r:id="rId2131" xr:uid="{00000000-0004-0000-0200-000052080000}"/>
    <hyperlink ref="F1758" r:id="rId2132" xr:uid="{00000000-0004-0000-0200-000053080000}"/>
    <hyperlink ref="S1758" r:id="rId2133" xr:uid="{00000000-0004-0000-0200-000054080000}"/>
    <hyperlink ref="F1759" r:id="rId2134" xr:uid="{00000000-0004-0000-0200-000055080000}"/>
    <hyperlink ref="S1759" r:id="rId2135" xr:uid="{00000000-0004-0000-0200-000056080000}"/>
    <hyperlink ref="F1760" r:id="rId2136" xr:uid="{00000000-0004-0000-0200-000057080000}"/>
    <hyperlink ref="G1760" r:id="rId2137" xr:uid="{00000000-0004-0000-0200-000058080000}"/>
    <hyperlink ref="S1760" r:id="rId2138" xr:uid="{00000000-0004-0000-0200-000059080000}"/>
    <hyperlink ref="F1761" r:id="rId2139" xr:uid="{00000000-0004-0000-0200-00005A080000}"/>
    <hyperlink ref="F1762" r:id="rId2140" xr:uid="{00000000-0004-0000-0200-00005B080000}"/>
    <hyperlink ref="F1763" r:id="rId2141" xr:uid="{00000000-0004-0000-0200-00005C080000}"/>
    <hyperlink ref="S1763" r:id="rId2142" xr:uid="{00000000-0004-0000-0200-00005D080000}"/>
    <hyperlink ref="F1764" r:id="rId2143" xr:uid="{00000000-0004-0000-0200-00005E080000}"/>
    <hyperlink ref="S1764" r:id="rId2144" xr:uid="{00000000-0004-0000-0200-00005F080000}"/>
    <hyperlink ref="F1765" r:id="rId2145" xr:uid="{00000000-0004-0000-0200-000060080000}"/>
    <hyperlink ref="S1765" r:id="rId2146" xr:uid="{00000000-0004-0000-0200-000061080000}"/>
    <hyperlink ref="F1766" r:id="rId2147" xr:uid="{00000000-0004-0000-0200-000062080000}"/>
    <hyperlink ref="G1766" r:id="rId2148" xr:uid="{00000000-0004-0000-0200-000063080000}"/>
    <hyperlink ref="S1766" r:id="rId2149" xr:uid="{00000000-0004-0000-0200-000064080000}"/>
    <hyperlink ref="F1767" r:id="rId2150" xr:uid="{00000000-0004-0000-0200-000065080000}"/>
    <hyperlink ref="G1767" r:id="rId2151" xr:uid="{00000000-0004-0000-0200-000066080000}"/>
    <hyperlink ref="F1768" r:id="rId2152" xr:uid="{00000000-0004-0000-0200-000067080000}"/>
    <hyperlink ref="F1770" r:id="rId2153" xr:uid="{00000000-0004-0000-0200-000068080000}"/>
    <hyperlink ref="F1771" r:id="rId2154" xr:uid="{00000000-0004-0000-0200-000069080000}"/>
    <hyperlink ref="S1771" r:id="rId2155" xr:uid="{00000000-0004-0000-0200-00006A080000}"/>
    <hyperlink ref="F1772" r:id="rId2156" xr:uid="{00000000-0004-0000-0200-00006B080000}"/>
    <hyperlink ref="S1772" r:id="rId2157" xr:uid="{00000000-0004-0000-0200-00006C080000}"/>
    <hyperlink ref="F1773" r:id="rId2158" xr:uid="{00000000-0004-0000-0200-00006D080000}"/>
    <hyperlink ref="S1773" r:id="rId2159" xr:uid="{00000000-0004-0000-0200-00006E080000}"/>
    <hyperlink ref="F1774" r:id="rId2160" xr:uid="{00000000-0004-0000-0200-00006F080000}"/>
    <hyperlink ref="F1775" r:id="rId2161" xr:uid="{00000000-0004-0000-0200-000070080000}"/>
    <hyperlink ref="S1775" r:id="rId2162" xr:uid="{00000000-0004-0000-0200-000071080000}"/>
    <hyperlink ref="F1776" r:id="rId2163" xr:uid="{00000000-0004-0000-0200-000072080000}"/>
    <hyperlink ref="S1776" r:id="rId2164" xr:uid="{00000000-0004-0000-0200-000073080000}"/>
    <hyperlink ref="F1777" r:id="rId2165" xr:uid="{00000000-0004-0000-0200-000074080000}"/>
    <hyperlink ref="F1778" r:id="rId2166" xr:uid="{00000000-0004-0000-0200-000075080000}"/>
    <hyperlink ref="S1778" r:id="rId2167" xr:uid="{00000000-0004-0000-0200-000076080000}"/>
    <hyperlink ref="G1779" r:id="rId2168" xr:uid="{00000000-0004-0000-0200-000077080000}"/>
    <hyperlink ref="F1780" r:id="rId2169" xr:uid="{00000000-0004-0000-0200-000078080000}"/>
    <hyperlink ref="G1780" r:id="rId2170" xr:uid="{00000000-0004-0000-0200-000079080000}"/>
    <hyperlink ref="F1781" r:id="rId2171" location=".W_KLztBEPbk.facebook" xr:uid="{00000000-0004-0000-0200-00007A080000}"/>
    <hyperlink ref="G1782" r:id="rId2172" xr:uid="{00000000-0004-0000-0200-00007B080000}"/>
    <hyperlink ref="S1782" r:id="rId2173" xr:uid="{00000000-0004-0000-0200-00007C080000}"/>
    <hyperlink ref="F1783" r:id="rId2174" xr:uid="{00000000-0004-0000-0200-00007D080000}"/>
    <hyperlink ref="F1784" r:id="rId2175" xr:uid="{00000000-0004-0000-0200-00007E080000}"/>
    <hyperlink ref="F1785" r:id="rId2176" xr:uid="{00000000-0004-0000-0200-00007F080000}"/>
    <hyperlink ref="F1786" r:id="rId2177" xr:uid="{00000000-0004-0000-0200-000080080000}"/>
    <hyperlink ref="F1787" r:id="rId2178" xr:uid="{00000000-0004-0000-0200-000081080000}"/>
    <hyperlink ref="G1787" r:id="rId2179" xr:uid="{00000000-0004-0000-0200-000082080000}"/>
    <hyperlink ref="S1787" r:id="rId2180" xr:uid="{00000000-0004-0000-0200-000083080000}"/>
    <hyperlink ref="F1788" r:id="rId2181" xr:uid="{00000000-0004-0000-0200-000084080000}"/>
    <hyperlink ref="F1789" r:id="rId2182" xr:uid="{00000000-0004-0000-0200-000085080000}"/>
    <hyperlink ref="S1789" r:id="rId2183" xr:uid="{00000000-0004-0000-0200-000086080000}"/>
    <hyperlink ref="F1790" r:id="rId2184" xr:uid="{00000000-0004-0000-0200-000087080000}"/>
    <hyperlink ref="F1791" r:id="rId2185" xr:uid="{00000000-0004-0000-0200-000088080000}"/>
    <hyperlink ref="G1792" r:id="rId2186" xr:uid="{00000000-0004-0000-0200-000089080000}"/>
    <hyperlink ref="S1792" r:id="rId2187" xr:uid="{00000000-0004-0000-0200-00008A080000}"/>
    <hyperlink ref="S1793" r:id="rId2188" xr:uid="{00000000-0004-0000-0200-00008B080000}"/>
    <hyperlink ref="F1794" r:id="rId2189" xr:uid="{00000000-0004-0000-0200-00008C080000}"/>
    <hyperlink ref="G1794" r:id="rId2190" xr:uid="{00000000-0004-0000-0200-00008D080000}"/>
    <hyperlink ref="S1794" r:id="rId2191" xr:uid="{00000000-0004-0000-0200-00008E080000}"/>
    <hyperlink ref="F1795" r:id="rId2192" xr:uid="{00000000-0004-0000-0200-00008F080000}"/>
    <hyperlink ref="F1796" r:id="rId2193" xr:uid="{00000000-0004-0000-0200-000090080000}"/>
    <hyperlink ref="S1796" r:id="rId2194" xr:uid="{00000000-0004-0000-0200-000091080000}"/>
    <hyperlink ref="F1797" r:id="rId2195" xr:uid="{00000000-0004-0000-0200-000092080000}"/>
    <hyperlink ref="S1797" r:id="rId2196" xr:uid="{00000000-0004-0000-0200-000093080000}"/>
    <hyperlink ref="F1798" r:id="rId2197" xr:uid="{00000000-0004-0000-0200-000094080000}"/>
    <hyperlink ref="S1798" r:id="rId2198" xr:uid="{00000000-0004-0000-0200-000095080000}"/>
    <hyperlink ref="F1799" r:id="rId2199" xr:uid="{00000000-0004-0000-0200-000096080000}"/>
    <hyperlink ref="S1799" r:id="rId2200" xr:uid="{00000000-0004-0000-0200-000097080000}"/>
    <hyperlink ref="F1800" r:id="rId2201" xr:uid="{00000000-0004-0000-0200-000098080000}"/>
    <hyperlink ref="S1800" r:id="rId2202" xr:uid="{00000000-0004-0000-0200-000099080000}"/>
    <hyperlink ref="F1801" r:id="rId2203" xr:uid="{00000000-0004-0000-0200-00009A080000}"/>
    <hyperlink ref="F1802" r:id="rId2204" xr:uid="{00000000-0004-0000-0200-00009B080000}"/>
    <hyperlink ref="F1803" r:id="rId2205" xr:uid="{00000000-0004-0000-0200-00009C080000}"/>
    <hyperlink ref="F1804" r:id="rId2206" xr:uid="{00000000-0004-0000-0200-00009D080000}"/>
    <hyperlink ref="F1805" r:id="rId2207" xr:uid="{00000000-0004-0000-0200-00009E080000}"/>
    <hyperlink ref="S1805" r:id="rId2208" xr:uid="{00000000-0004-0000-0200-00009F080000}"/>
    <hyperlink ref="G1806" r:id="rId2209" xr:uid="{00000000-0004-0000-0200-0000A0080000}"/>
    <hyperlink ref="S1806" r:id="rId2210" xr:uid="{00000000-0004-0000-0200-0000A1080000}"/>
    <hyperlink ref="F1809" r:id="rId2211" xr:uid="{00000000-0004-0000-0200-0000A2080000}"/>
    <hyperlink ref="G1809" r:id="rId2212" xr:uid="{00000000-0004-0000-0200-0000A3080000}"/>
    <hyperlink ref="F1810" r:id="rId2213" xr:uid="{00000000-0004-0000-0200-0000A4080000}"/>
    <hyperlink ref="S1810" r:id="rId2214" xr:uid="{00000000-0004-0000-0200-0000A5080000}"/>
    <hyperlink ref="F1811" r:id="rId2215" xr:uid="{00000000-0004-0000-0200-0000A6080000}"/>
    <hyperlink ref="S1811" r:id="rId2216" xr:uid="{00000000-0004-0000-0200-0000A7080000}"/>
    <hyperlink ref="F1812" r:id="rId2217" xr:uid="{00000000-0004-0000-0200-0000A8080000}"/>
    <hyperlink ref="S1812" r:id="rId2218" xr:uid="{00000000-0004-0000-0200-0000A9080000}"/>
    <hyperlink ref="F1815" r:id="rId2219" xr:uid="{00000000-0004-0000-0200-0000AA080000}"/>
    <hyperlink ref="S1815" r:id="rId2220" xr:uid="{00000000-0004-0000-0200-0000AB080000}"/>
    <hyperlink ref="F1816" r:id="rId2221" xr:uid="{00000000-0004-0000-0200-0000AC080000}"/>
    <hyperlink ref="S1816" r:id="rId2222" xr:uid="{00000000-0004-0000-0200-0000AD080000}"/>
    <hyperlink ref="F1817" r:id="rId2223" xr:uid="{00000000-0004-0000-0200-0000AE080000}"/>
    <hyperlink ref="F1818" r:id="rId2224" xr:uid="{00000000-0004-0000-0200-0000AF080000}"/>
    <hyperlink ref="F1819" r:id="rId2225" xr:uid="{00000000-0004-0000-0200-0000B0080000}"/>
    <hyperlink ref="F1820" r:id="rId2226" xr:uid="{00000000-0004-0000-0200-0000B1080000}"/>
    <hyperlink ref="F1821" r:id="rId2227" xr:uid="{00000000-0004-0000-0200-0000B2080000}"/>
    <hyperlink ref="S1821" r:id="rId2228" xr:uid="{00000000-0004-0000-0200-0000B3080000}"/>
    <hyperlink ref="G1822" r:id="rId2229" xr:uid="{00000000-0004-0000-0200-0000B4080000}"/>
    <hyperlink ref="S1822" r:id="rId2230" xr:uid="{00000000-0004-0000-0200-0000B5080000}"/>
    <hyperlink ref="F1824" r:id="rId2231" xr:uid="{00000000-0004-0000-0200-0000B6080000}"/>
    <hyperlink ref="G1824" r:id="rId2232" xr:uid="{00000000-0004-0000-0200-0000B7080000}"/>
    <hyperlink ref="F1825" r:id="rId2233" xr:uid="{00000000-0004-0000-0200-0000B8080000}"/>
    <hyperlink ref="G1827" r:id="rId2234" xr:uid="{00000000-0004-0000-0200-0000B9080000}"/>
    <hyperlink ref="S1827" r:id="rId2235" xr:uid="{00000000-0004-0000-0200-0000BA080000}"/>
    <hyperlink ref="F1828" r:id="rId2236" xr:uid="{00000000-0004-0000-0200-0000BB080000}"/>
    <hyperlink ref="S1828" r:id="rId2237" xr:uid="{00000000-0004-0000-0200-0000BC080000}"/>
    <hyperlink ref="F1830" r:id="rId2238" xr:uid="{00000000-0004-0000-0200-0000BD080000}"/>
    <hyperlink ref="S1830" r:id="rId2239" xr:uid="{00000000-0004-0000-0200-0000BE080000}"/>
    <hyperlink ref="F1831" r:id="rId2240" xr:uid="{00000000-0004-0000-0200-0000BF080000}"/>
    <hyperlink ref="F1832" r:id="rId2241" xr:uid="{00000000-0004-0000-0200-0000C0080000}"/>
    <hyperlink ref="F1833" r:id="rId2242" xr:uid="{00000000-0004-0000-0200-0000C1080000}"/>
    <hyperlink ref="S1833" r:id="rId2243" xr:uid="{00000000-0004-0000-0200-0000C2080000}"/>
    <hyperlink ref="G1834" r:id="rId2244" xr:uid="{00000000-0004-0000-0200-0000C3080000}"/>
    <hyperlink ref="F1835" r:id="rId2245" xr:uid="{00000000-0004-0000-0200-0000C4080000}"/>
    <hyperlink ref="S1835" r:id="rId2246" xr:uid="{00000000-0004-0000-0200-0000C5080000}"/>
    <hyperlink ref="F1836" r:id="rId2247" xr:uid="{00000000-0004-0000-0200-0000C6080000}"/>
    <hyperlink ref="F1837" r:id="rId2248" xr:uid="{00000000-0004-0000-0200-0000C7080000}"/>
    <hyperlink ref="F1838" r:id="rId2249" xr:uid="{00000000-0004-0000-0200-0000C8080000}"/>
    <hyperlink ref="G1840" r:id="rId2250" xr:uid="{00000000-0004-0000-0200-0000C9080000}"/>
    <hyperlink ref="F1841" r:id="rId2251" xr:uid="{00000000-0004-0000-0200-0000CA080000}"/>
    <hyperlink ref="S1841" r:id="rId2252" xr:uid="{00000000-0004-0000-0200-0000CB080000}"/>
    <hyperlink ref="F1842" r:id="rId2253" xr:uid="{00000000-0004-0000-0200-0000CC080000}"/>
    <hyperlink ref="G1842" r:id="rId2254" xr:uid="{00000000-0004-0000-0200-0000CD080000}"/>
    <hyperlink ref="S1844" r:id="rId2255" xr:uid="{00000000-0004-0000-0200-0000CE080000}"/>
    <hyperlink ref="F1845" r:id="rId2256" xr:uid="{00000000-0004-0000-0200-0000CF080000}"/>
    <hyperlink ref="S1845" r:id="rId2257" xr:uid="{00000000-0004-0000-0200-0000D0080000}"/>
    <hyperlink ref="F1846" r:id="rId2258" xr:uid="{00000000-0004-0000-0200-0000D1080000}"/>
    <hyperlink ref="S1846" r:id="rId2259" xr:uid="{00000000-0004-0000-0200-0000D2080000}"/>
    <hyperlink ref="F1847" r:id="rId2260" xr:uid="{00000000-0004-0000-0200-0000D3080000}"/>
    <hyperlink ref="F1848" r:id="rId2261" xr:uid="{00000000-0004-0000-0200-0000D4080000}"/>
    <hyperlink ref="F1849" r:id="rId2262" xr:uid="{00000000-0004-0000-0200-0000D5080000}"/>
    <hyperlink ref="F1851" r:id="rId2263" xr:uid="{00000000-0004-0000-0200-0000D6080000}"/>
    <hyperlink ref="G1853" r:id="rId2264" xr:uid="{00000000-0004-0000-0200-0000D7080000}"/>
    <hyperlink ref="F1854" r:id="rId2265" xr:uid="{00000000-0004-0000-0200-0000D8080000}"/>
    <hyperlink ref="S1854" r:id="rId2266" xr:uid="{00000000-0004-0000-0200-0000D9080000}"/>
    <hyperlink ref="F1855" r:id="rId2267" xr:uid="{00000000-0004-0000-0200-0000DA080000}"/>
    <hyperlink ref="F1856" r:id="rId2268" xr:uid="{00000000-0004-0000-0200-0000DB080000}"/>
    <hyperlink ref="S1856" r:id="rId2269" xr:uid="{00000000-0004-0000-0200-0000DC080000}"/>
    <hyperlink ref="C1857" r:id="rId2270" xr:uid="{00000000-0004-0000-0200-0000DD080000}"/>
    <hyperlink ref="F1857" r:id="rId2271" xr:uid="{00000000-0004-0000-0200-0000DE080000}"/>
    <hyperlink ref="S1857" r:id="rId2272" xr:uid="{00000000-0004-0000-0200-0000DF080000}"/>
    <hyperlink ref="F1858" r:id="rId2273" xr:uid="{00000000-0004-0000-0200-0000E0080000}"/>
    <hyperlink ref="F1859" r:id="rId2274" xr:uid="{00000000-0004-0000-0200-0000E1080000}"/>
    <hyperlink ref="G1859" r:id="rId2275" xr:uid="{00000000-0004-0000-0200-0000E2080000}"/>
    <hyperlink ref="S1859" r:id="rId2276" xr:uid="{00000000-0004-0000-0200-0000E3080000}"/>
    <hyperlink ref="G1860" r:id="rId2277" xr:uid="{00000000-0004-0000-0200-0000E4080000}"/>
    <hyperlink ref="F1861" r:id="rId2278" xr:uid="{00000000-0004-0000-0200-0000E5080000}"/>
    <hyperlink ref="S1861" r:id="rId2279" xr:uid="{00000000-0004-0000-0200-0000E6080000}"/>
    <hyperlink ref="G1862" r:id="rId2280" xr:uid="{00000000-0004-0000-0200-0000E7080000}"/>
    <hyperlink ref="S1864" r:id="rId2281" xr:uid="{00000000-0004-0000-0200-0000E8080000}"/>
    <hyperlink ref="G1865" r:id="rId2282" xr:uid="{00000000-0004-0000-0200-0000E9080000}"/>
    <hyperlink ref="F1866" r:id="rId2283" xr:uid="{00000000-0004-0000-0200-0000EA080000}"/>
    <hyperlink ref="F1867" r:id="rId2284" xr:uid="{00000000-0004-0000-0200-0000EB080000}"/>
    <hyperlink ref="S1867" r:id="rId2285" xr:uid="{00000000-0004-0000-0200-0000EC080000}"/>
    <hyperlink ref="F1868" r:id="rId2286" xr:uid="{00000000-0004-0000-0200-0000ED080000}"/>
    <hyperlink ref="S1868" r:id="rId2287" xr:uid="{00000000-0004-0000-0200-0000EE080000}"/>
    <hyperlink ref="F1869" r:id="rId2288" xr:uid="{00000000-0004-0000-0200-0000EF080000}"/>
    <hyperlink ref="F1871" r:id="rId2289" xr:uid="{00000000-0004-0000-0200-0000F0080000}"/>
    <hyperlink ref="S1871" r:id="rId2290" xr:uid="{00000000-0004-0000-0200-0000F1080000}"/>
    <hyperlink ref="F1872" r:id="rId2291" xr:uid="{00000000-0004-0000-0200-0000F2080000}"/>
    <hyperlink ref="F1873" r:id="rId2292" xr:uid="{00000000-0004-0000-0200-0000F3080000}"/>
    <hyperlink ref="S1873" r:id="rId2293" xr:uid="{00000000-0004-0000-0200-0000F4080000}"/>
    <hyperlink ref="S1874" r:id="rId2294" xr:uid="{00000000-0004-0000-0200-0000F5080000}"/>
    <hyperlink ref="F1875" r:id="rId2295" xr:uid="{00000000-0004-0000-0200-0000F6080000}"/>
    <hyperlink ref="F1877" r:id="rId2296" xr:uid="{00000000-0004-0000-0200-0000F7080000}"/>
    <hyperlink ref="F1878" r:id="rId2297" xr:uid="{00000000-0004-0000-0200-0000F8080000}"/>
    <hyperlink ref="S1878" r:id="rId2298" xr:uid="{00000000-0004-0000-0200-0000F9080000}"/>
    <hyperlink ref="C1880" r:id="rId2299" xr:uid="{00000000-0004-0000-0200-0000FA080000}"/>
    <hyperlink ref="F1880" r:id="rId2300" xr:uid="{00000000-0004-0000-0200-0000FB080000}"/>
    <hyperlink ref="G1880" r:id="rId2301" xr:uid="{00000000-0004-0000-0200-0000FC080000}"/>
    <hyperlink ref="S1880" r:id="rId2302" xr:uid="{00000000-0004-0000-0200-0000FD080000}"/>
    <hyperlink ref="F1881" r:id="rId2303" xr:uid="{00000000-0004-0000-0200-0000FE080000}"/>
    <hyperlink ref="F1882" r:id="rId2304" xr:uid="{00000000-0004-0000-0200-0000FF080000}"/>
    <hyperlink ref="F1883" r:id="rId2305" xr:uid="{00000000-0004-0000-0200-000000090000}"/>
    <hyperlink ref="G1883" r:id="rId2306" xr:uid="{00000000-0004-0000-0200-000001090000}"/>
    <hyperlink ref="S1883" r:id="rId2307" xr:uid="{00000000-0004-0000-0200-000002090000}"/>
    <hyperlink ref="F1886" r:id="rId2308" xr:uid="{00000000-0004-0000-0200-000003090000}"/>
    <hyperlink ref="F1887" r:id="rId2309" xr:uid="{00000000-0004-0000-0200-000004090000}"/>
    <hyperlink ref="G1887" r:id="rId2310" xr:uid="{00000000-0004-0000-0200-000005090000}"/>
    <hyperlink ref="S1887" r:id="rId2311" xr:uid="{00000000-0004-0000-0200-000006090000}"/>
    <hyperlink ref="F1888" r:id="rId2312" xr:uid="{00000000-0004-0000-0200-000007090000}"/>
    <hyperlink ref="S1888" r:id="rId2313" xr:uid="{00000000-0004-0000-0200-000008090000}"/>
    <hyperlink ref="F1889" r:id="rId2314" xr:uid="{00000000-0004-0000-0200-000009090000}"/>
    <hyperlink ref="F1890" r:id="rId2315" xr:uid="{00000000-0004-0000-0200-00000A090000}"/>
    <hyperlink ref="F1891" r:id="rId2316" xr:uid="{00000000-0004-0000-0200-00000B090000}"/>
    <hyperlink ref="G1891" r:id="rId2317" xr:uid="{00000000-0004-0000-0200-00000C090000}"/>
    <hyperlink ref="S1891" r:id="rId2318" xr:uid="{00000000-0004-0000-0200-00000D090000}"/>
    <hyperlink ref="F1892" r:id="rId2319" xr:uid="{00000000-0004-0000-0200-00000E090000}"/>
    <hyperlink ref="S1892" r:id="rId2320" xr:uid="{00000000-0004-0000-0200-00000F090000}"/>
    <hyperlink ref="F1893" r:id="rId2321" xr:uid="{00000000-0004-0000-0200-000010090000}"/>
    <hyperlink ref="S1893" r:id="rId2322" xr:uid="{00000000-0004-0000-0200-000011090000}"/>
    <hyperlink ref="F1894" r:id="rId2323" xr:uid="{00000000-0004-0000-0200-000012090000}"/>
    <hyperlink ref="F1896" r:id="rId2324" xr:uid="{00000000-0004-0000-0200-000013090000}"/>
    <hyperlink ref="F1897" r:id="rId2325" xr:uid="{00000000-0004-0000-0200-000014090000}"/>
    <hyperlink ref="F1898" r:id="rId2326" xr:uid="{00000000-0004-0000-0200-000015090000}"/>
    <hyperlink ref="S1898" r:id="rId2327" xr:uid="{00000000-0004-0000-0200-000016090000}"/>
    <hyperlink ref="F1899" r:id="rId2328" xr:uid="{00000000-0004-0000-0200-000017090000}"/>
    <hyperlink ref="F1900" r:id="rId2329" xr:uid="{00000000-0004-0000-0200-000018090000}"/>
    <hyperlink ref="G1900" r:id="rId2330" xr:uid="{00000000-0004-0000-0200-000019090000}"/>
    <hyperlink ref="F1901" r:id="rId2331" xr:uid="{00000000-0004-0000-0200-00001A090000}"/>
    <hyperlink ref="F1902" r:id="rId2332" location=".W_IG8Cr6yHU.facebook" xr:uid="{00000000-0004-0000-0200-00001B090000}"/>
    <hyperlink ref="F1904" r:id="rId2333" xr:uid="{00000000-0004-0000-0200-00001C090000}"/>
    <hyperlink ref="S1904" r:id="rId2334" xr:uid="{00000000-0004-0000-0200-00001D090000}"/>
    <hyperlink ref="F1905" r:id="rId2335" xr:uid="{00000000-0004-0000-0200-00001E090000}"/>
    <hyperlink ref="G1905" r:id="rId2336" xr:uid="{00000000-0004-0000-0200-00001F090000}"/>
    <hyperlink ref="F1906" r:id="rId2337" xr:uid="{00000000-0004-0000-0200-000020090000}"/>
    <hyperlink ref="S1906" r:id="rId2338" xr:uid="{00000000-0004-0000-0200-000021090000}"/>
    <hyperlink ref="F1907" r:id="rId2339" xr:uid="{00000000-0004-0000-0200-000022090000}"/>
    <hyperlink ref="S1907" r:id="rId2340" xr:uid="{00000000-0004-0000-0200-000023090000}"/>
    <hyperlink ref="F1908" r:id="rId2341" xr:uid="{00000000-0004-0000-0200-000024090000}"/>
    <hyperlink ref="F1909" r:id="rId2342" xr:uid="{00000000-0004-0000-0200-000025090000}"/>
    <hyperlink ref="S1910" r:id="rId2343" xr:uid="{00000000-0004-0000-0200-000026090000}"/>
    <hyperlink ref="S1913" r:id="rId2344" xr:uid="{00000000-0004-0000-0200-000027090000}"/>
    <hyperlink ref="F1914" r:id="rId2345" xr:uid="{00000000-0004-0000-0200-000028090000}"/>
    <hyperlink ref="S1914" r:id="rId2346" xr:uid="{00000000-0004-0000-0200-000029090000}"/>
    <hyperlink ref="F1915" r:id="rId2347" xr:uid="{00000000-0004-0000-0200-00002A090000}"/>
    <hyperlink ref="S1915" r:id="rId2348" xr:uid="{00000000-0004-0000-0200-00002B090000}"/>
    <hyperlink ref="F1917" r:id="rId2349" xr:uid="{00000000-0004-0000-0200-00002C090000}"/>
    <hyperlink ref="S1917" r:id="rId2350" xr:uid="{00000000-0004-0000-0200-00002D090000}"/>
    <hyperlink ref="F1918" r:id="rId2351" xr:uid="{00000000-0004-0000-0200-00002E090000}"/>
    <hyperlink ref="S1918" r:id="rId2352" xr:uid="{00000000-0004-0000-0200-00002F090000}"/>
    <hyperlink ref="F1919" r:id="rId2353" xr:uid="{00000000-0004-0000-0200-000030090000}"/>
    <hyperlink ref="S1919" r:id="rId2354" xr:uid="{00000000-0004-0000-0200-000031090000}"/>
    <hyperlink ref="F1920" r:id="rId2355" xr:uid="{00000000-0004-0000-0200-000032090000}"/>
    <hyperlink ref="G1920" r:id="rId2356" xr:uid="{00000000-0004-0000-0200-000033090000}"/>
    <hyperlink ref="S1920" r:id="rId2357" xr:uid="{00000000-0004-0000-0200-000034090000}"/>
    <hyperlink ref="S1923" r:id="rId2358" xr:uid="{00000000-0004-0000-0200-000035090000}"/>
    <hyperlink ref="F1924" r:id="rId2359" xr:uid="{00000000-0004-0000-0200-000036090000}"/>
    <hyperlink ref="G1925" r:id="rId2360" xr:uid="{00000000-0004-0000-0200-000037090000}"/>
    <hyperlink ref="S1925" r:id="rId2361" xr:uid="{00000000-0004-0000-0200-000038090000}"/>
    <hyperlink ref="S1926" r:id="rId2362" xr:uid="{00000000-0004-0000-0200-000039090000}"/>
    <hyperlink ref="F1927" r:id="rId2363" xr:uid="{00000000-0004-0000-0200-00003A090000}"/>
    <hyperlink ref="F1928" r:id="rId2364" xr:uid="{00000000-0004-0000-0200-00003B090000}"/>
    <hyperlink ref="F1932" r:id="rId2365" xr:uid="{00000000-0004-0000-0200-00003C090000}"/>
    <hyperlink ref="S1932" r:id="rId2366" xr:uid="{00000000-0004-0000-0200-00003D090000}"/>
    <hyperlink ref="G1933" r:id="rId2367" xr:uid="{00000000-0004-0000-0200-00003E090000}"/>
    <hyperlink ref="S1933" r:id="rId2368" xr:uid="{00000000-0004-0000-0200-00003F090000}"/>
    <hyperlink ref="F1934" r:id="rId2369" xr:uid="{00000000-0004-0000-0200-000040090000}"/>
    <hyperlink ref="S1934" r:id="rId2370" xr:uid="{00000000-0004-0000-0200-000041090000}"/>
    <hyperlink ref="F1935" r:id="rId2371" xr:uid="{00000000-0004-0000-0200-000042090000}"/>
    <hyperlink ref="S1935" r:id="rId2372" xr:uid="{00000000-0004-0000-0200-000043090000}"/>
    <hyperlink ref="F1937" r:id="rId2373" xr:uid="{00000000-0004-0000-0200-000044090000}"/>
    <hyperlink ref="F1938" r:id="rId2374" xr:uid="{00000000-0004-0000-0200-000045090000}"/>
    <hyperlink ref="F1939" r:id="rId2375" xr:uid="{00000000-0004-0000-0200-000046090000}"/>
    <hyperlink ref="F1940" r:id="rId2376" xr:uid="{00000000-0004-0000-0200-000047090000}"/>
    <hyperlink ref="F1941" r:id="rId2377" xr:uid="{00000000-0004-0000-0200-000048090000}"/>
    <hyperlink ref="G1942" r:id="rId2378" xr:uid="{00000000-0004-0000-0200-000049090000}"/>
    <hyperlink ref="F1943" r:id="rId2379" xr:uid="{00000000-0004-0000-0200-00004A090000}"/>
    <hyperlink ref="F1944" r:id="rId2380" xr:uid="{00000000-0004-0000-0200-00004B090000}"/>
    <hyperlink ref="S1945" r:id="rId2381" xr:uid="{00000000-0004-0000-0200-00004C090000}"/>
    <hyperlink ref="F1946" r:id="rId2382" xr:uid="{00000000-0004-0000-0200-00004D090000}"/>
    <hyperlink ref="S1946" r:id="rId2383" xr:uid="{00000000-0004-0000-0200-00004E090000}"/>
    <hyperlink ref="F1949" r:id="rId2384" xr:uid="{00000000-0004-0000-0200-00004F090000}"/>
    <hyperlink ref="G1949" r:id="rId2385" xr:uid="{00000000-0004-0000-0200-000050090000}"/>
    <hyperlink ref="S1949" r:id="rId2386" xr:uid="{00000000-0004-0000-0200-000051090000}"/>
    <hyperlink ref="S1950" r:id="rId2387" xr:uid="{00000000-0004-0000-0200-000052090000}"/>
    <hyperlink ref="F1953" r:id="rId2388" xr:uid="{00000000-0004-0000-0200-000053090000}"/>
    <hyperlink ref="F1954" r:id="rId2389" xr:uid="{00000000-0004-0000-0200-000054090000}"/>
    <hyperlink ref="S1954" r:id="rId2390" xr:uid="{00000000-0004-0000-0200-000055090000}"/>
    <hyperlink ref="F1955" r:id="rId2391" xr:uid="{00000000-0004-0000-0200-000056090000}"/>
    <hyperlink ref="F1956" r:id="rId2392" xr:uid="{00000000-0004-0000-0200-000057090000}"/>
    <hyperlink ref="F1957" r:id="rId2393" xr:uid="{00000000-0004-0000-0200-000058090000}"/>
    <hyperlink ref="C1958" r:id="rId2394" xr:uid="{00000000-0004-0000-0200-000059090000}"/>
    <hyperlink ref="F1958" r:id="rId2395" xr:uid="{00000000-0004-0000-0200-00005A090000}"/>
    <hyperlink ref="G1958" r:id="rId2396" xr:uid="{00000000-0004-0000-0200-00005B090000}"/>
    <hyperlink ref="S1958" r:id="rId2397" xr:uid="{00000000-0004-0000-0200-00005C090000}"/>
    <hyperlink ref="F1959" r:id="rId2398" xr:uid="{00000000-0004-0000-0200-00005D090000}"/>
    <hyperlink ref="F1960" r:id="rId2399" xr:uid="{00000000-0004-0000-0200-00005E090000}"/>
    <hyperlink ref="F1961" r:id="rId2400" xr:uid="{00000000-0004-0000-0200-00005F090000}"/>
    <hyperlink ref="S1961" r:id="rId2401" xr:uid="{00000000-0004-0000-0200-000060090000}"/>
    <hyperlink ref="F1962" r:id="rId2402" xr:uid="{00000000-0004-0000-0200-000061090000}"/>
    <hyperlink ref="G1962" r:id="rId2403" xr:uid="{00000000-0004-0000-0200-000062090000}"/>
    <hyperlink ref="S1962" r:id="rId2404" xr:uid="{00000000-0004-0000-0200-000063090000}"/>
    <hyperlink ref="G1963" r:id="rId2405" xr:uid="{00000000-0004-0000-0200-000064090000}"/>
    <hyperlink ref="F1965" r:id="rId2406" xr:uid="{00000000-0004-0000-0200-000065090000}"/>
    <hyperlink ref="S1965" r:id="rId2407" xr:uid="{00000000-0004-0000-0200-000066090000}"/>
    <hyperlink ref="S1966" r:id="rId2408" xr:uid="{00000000-0004-0000-0200-000067090000}"/>
    <hyperlink ref="F1967" r:id="rId2409" xr:uid="{00000000-0004-0000-0200-000068090000}"/>
    <hyperlink ref="S1967" r:id="rId2410" xr:uid="{00000000-0004-0000-0200-000069090000}"/>
    <hyperlink ref="F1969" r:id="rId2411" xr:uid="{00000000-0004-0000-0200-00006A090000}"/>
    <hyperlink ref="G1970" r:id="rId2412" xr:uid="{00000000-0004-0000-0200-00006B090000}"/>
    <hyperlink ref="S1970" r:id="rId2413" xr:uid="{00000000-0004-0000-0200-00006C090000}"/>
    <hyperlink ref="F1974" r:id="rId2414" xr:uid="{00000000-0004-0000-0200-00006D090000}"/>
    <hyperlink ref="S1974" r:id="rId2415" xr:uid="{00000000-0004-0000-0200-00006E090000}"/>
    <hyperlink ref="F1976" r:id="rId2416" xr:uid="{00000000-0004-0000-0200-00006F090000}"/>
    <hyperlink ref="S1976" r:id="rId2417" xr:uid="{00000000-0004-0000-0200-000070090000}"/>
    <hyperlink ref="F1980" r:id="rId2418" xr:uid="{00000000-0004-0000-0200-000071090000}"/>
    <hyperlink ref="G1980" r:id="rId2419" xr:uid="{00000000-0004-0000-0200-000072090000}"/>
    <hyperlink ref="F1981" r:id="rId2420" xr:uid="{00000000-0004-0000-0200-000073090000}"/>
    <hyperlink ref="S1982" r:id="rId2421" xr:uid="{00000000-0004-0000-0200-000074090000}"/>
    <hyperlink ref="S1983" r:id="rId2422" xr:uid="{00000000-0004-0000-0200-000075090000}"/>
    <hyperlink ref="S1985" r:id="rId2423" xr:uid="{00000000-0004-0000-0200-000076090000}"/>
    <hyperlink ref="S1986" r:id="rId2424" xr:uid="{00000000-0004-0000-0200-000077090000}"/>
    <hyperlink ref="F1988" r:id="rId2425" xr:uid="{00000000-0004-0000-0200-000078090000}"/>
    <hyperlink ref="F1989" r:id="rId2426" xr:uid="{00000000-0004-0000-0200-000079090000}"/>
    <hyperlink ref="S1989" r:id="rId2427" xr:uid="{00000000-0004-0000-0200-00007A090000}"/>
    <hyperlink ref="F1991" r:id="rId2428" xr:uid="{00000000-0004-0000-0200-00007B090000}"/>
    <hyperlink ref="F1992" r:id="rId2429" xr:uid="{00000000-0004-0000-0200-00007C090000}"/>
    <hyperlink ref="F1993" r:id="rId2430" xr:uid="{00000000-0004-0000-0200-00007D090000}"/>
    <hyperlink ref="G1993" r:id="rId2431" xr:uid="{00000000-0004-0000-0200-00007E090000}"/>
    <hyperlink ref="S1993" r:id="rId2432" xr:uid="{00000000-0004-0000-0200-00007F090000}"/>
    <hyperlink ref="F1994" r:id="rId2433" xr:uid="{00000000-0004-0000-0200-000080090000}"/>
    <hyperlink ref="F1995" r:id="rId2434" xr:uid="{00000000-0004-0000-0200-000081090000}"/>
    <hyperlink ref="S1998" r:id="rId2435" xr:uid="{00000000-0004-0000-0200-000082090000}"/>
    <hyperlink ref="G2000" r:id="rId2436" xr:uid="{00000000-0004-0000-0200-000083090000}"/>
    <hyperlink ref="S2000" r:id="rId2437" xr:uid="{00000000-0004-0000-0200-000084090000}"/>
    <hyperlink ref="F2001" r:id="rId2438" xr:uid="{00000000-0004-0000-0200-000085090000}"/>
    <hyperlink ref="S2001" r:id="rId2439" xr:uid="{00000000-0004-0000-0200-000086090000}"/>
    <hyperlink ref="F2004" r:id="rId2440" xr:uid="{00000000-0004-0000-0200-000087090000}"/>
    <hyperlink ref="S2004" r:id="rId2441" xr:uid="{00000000-0004-0000-0200-000088090000}"/>
    <hyperlink ref="F2005" r:id="rId2442" xr:uid="{00000000-0004-0000-0200-000089090000}"/>
    <hyperlink ref="S2008" r:id="rId2443" xr:uid="{00000000-0004-0000-0200-00008A090000}"/>
    <hyperlink ref="F2009" r:id="rId2444" xr:uid="{00000000-0004-0000-0200-00008B090000}"/>
    <hyperlink ref="G2009" r:id="rId2445" xr:uid="{00000000-0004-0000-0200-00008C090000}"/>
    <hyperlink ref="S2009" r:id="rId2446" xr:uid="{00000000-0004-0000-0200-00008D090000}"/>
    <hyperlink ref="F2010" r:id="rId2447" xr:uid="{00000000-0004-0000-0200-00008E090000}"/>
    <hyperlink ref="F2011" r:id="rId2448" xr:uid="{00000000-0004-0000-0200-00008F090000}"/>
    <hyperlink ref="S2011" r:id="rId2449" xr:uid="{00000000-0004-0000-0200-000090090000}"/>
    <hyperlink ref="F2012" r:id="rId2450" xr:uid="{00000000-0004-0000-0200-000091090000}"/>
    <hyperlink ref="S2012" r:id="rId2451" xr:uid="{00000000-0004-0000-0200-000092090000}"/>
    <hyperlink ref="F2013" r:id="rId2452" xr:uid="{00000000-0004-0000-0200-000093090000}"/>
    <hyperlink ref="G2013" r:id="rId2453" xr:uid="{00000000-0004-0000-0200-000094090000}"/>
    <hyperlink ref="F2014" r:id="rId2454" xr:uid="{00000000-0004-0000-0200-000095090000}"/>
    <hyperlink ref="F2016" r:id="rId2455" xr:uid="{00000000-0004-0000-0200-000096090000}"/>
    <hyperlink ref="S2016" r:id="rId2456" xr:uid="{00000000-0004-0000-0200-000097090000}"/>
    <hyperlink ref="F2018" r:id="rId2457" xr:uid="{00000000-0004-0000-0200-000098090000}"/>
    <hyperlink ref="G2019" r:id="rId2458" xr:uid="{00000000-0004-0000-0200-000099090000}"/>
    <hyperlink ref="S2019" r:id="rId2459" xr:uid="{00000000-0004-0000-0200-00009A090000}"/>
    <hyperlink ref="F2020" r:id="rId2460" xr:uid="{00000000-0004-0000-0200-00009B090000}"/>
    <hyperlink ref="F2022" r:id="rId2461" xr:uid="{00000000-0004-0000-0200-00009C090000}"/>
    <hyperlink ref="F2024" r:id="rId2462" xr:uid="{00000000-0004-0000-0200-00009D090000}"/>
    <hyperlink ref="F2026" r:id="rId2463" xr:uid="{00000000-0004-0000-0200-00009E090000}"/>
    <hyperlink ref="S2026" r:id="rId2464" xr:uid="{00000000-0004-0000-0200-00009F090000}"/>
    <hyperlink ref="F2028" r:id="rId2465" xr:uid="{00000000-0004-0000-0200-0000A0090000}"/>
    <hyperlink ref="S2028" r:id="rId2466" xr:uid="{00000000-0004-0000-0200-0000A1090000}"/>
    <hyperlink ref="C2029" r:id="rId2467" xr:uid="{00000000-0004-0000-0200-0000A2090000}"/>
    <hyperlink ref="F2029" r:id="rId2468" location="Echobox=1542561899" xr:uid="{00000000-0004-0000-0200-0000A3090000}"/>
    <hyperlink ref="G2029" r:id="rId2469" xr:uid="{00000000-0004-0000-0200-0000A4090000}"/>
    <hyperlink ref="S2029" r:id="rId2470" xr:uid="{00000000-0004-0000-0200-0000A5090000}"/>
    <hyperlink ref="S2030" r:id="rId2471" xr:uid="{00000000-0004-0000-0200-0000A6090000}"/>
    <hyperlink ref="F2031" r:id="rId2472" xr:uid="{00000000-0004-0000-0200-0000A7090000}"/>
    <hyperlink ref="F2032" r:id="rId2473" xr:uid="{00000000-0004-0000-0200-0000A8090000}"/>
    <hyperlink ref="F2035" r:id="rId2474" xr:uid="{00000000-0004-0000-0200-0000A9090000}"/>
    <hyperlink ref="G2035" r:id="rId2475" xr:uid="{00000000-0004-0000-0200-0000AA090000}"/>
    <hyperlink ref="S2035" r:id="rId2476" xr:uid="{00000000-0004-0000-0200-0000AB090000}"/>
    <hyperlink ref="F2036" r:id="rId2477" xr:uid="{00000000-0004-0000-0200-0000AC090000}"/>
    <hyperlink ref="F2039" r:id="rId2478" xr:uid="{00000000-0004-0000-0200-0000AD090000}"/>
    <hyperlink ref="S2040" r:id="rId2479" xr:uid="{00000000-0004-0000-0200-0000AE090000}"/>
    <hyperlink ref="F2041" r:id="rId2480" xr:uid="{00000000-0004-0000-0200-0000AF090000}"/>
    <hyperlink ref="F2042" r:id="rId2481" xr:uid="{00000000-0004-0000-0200-0000B0090000}"/>
    <hyperlink ref="F2043" r:id="rId2482" xr:uid="{00000000-0004-0000-0200-0000B1090000}"/>
    <hyperlink ref="F2044" r:id="rId2483" xr:uid="{00000000-0004-0000-0200-0000B2090000}"/>
    <hyperlink ref="F2046" r:id="rId2484" xr:uid="{00000000-0004-0000-0200-0000B3090000}"/>
    <hyperlink ref="F2047" r:id="rId2485" xr:uid="{00000000-0004-0000-0200-0000B4090000}"/>
    <hyperlink ref="G2047" r:id="rId2486" xr:uid="{00000000-0004-0000-0200-0000B5090000}"/>
    <hyperlink ref="F2048" r:id="rId2487" xr:uid="{00000000-0004-0000-0200-0000B6090000}"/>
    <hyperlink ref="F2049" r:id="rId2488" xr:uid="{00000000-0004-0000-0200-0000B7090000}"/>
    <hyperlink ref="F2051" r:id="rId2489" xr:uid="{00000000-0004-0000-0200-0000B8090000}"/>
    <hyperlink ref="G2051" r:id="rId2490" xr:uid="{00000000-0004-0000-0200-0000B9090000}"/>
    <hyperlink ref="F2052" r:id="rId2491" xr:uid="{00000000-0004-0000-0200-0000BA090000}"/>
    <hyperlink ref="F2054" r:id="rId2492" xr:uid="{00000000-0004-0000-0200-0000BB090000}"/>
    <hyperlink ref="F2056" r:id="rId2493" xr:uid="{00000000-0004-0000-0200-0000BC090000}"/>
    <hyperlink ref="S2056" r:id="rId2494" xr:uid="{00000000-0004-0000-0200-0000BD090000}"/>
    <hyperlink ref="S2057" r:id="rId2495" xr:uid="{00000000-0004-0000-0200-0000BE090000}"/>
    <hyperlink ref="F2058" r:id="rId2496" xr:uid="{00000000-0004-0000-0200-0000BF090000}"/>
    <hyperlink ref="S2058" r:id="rId2497" xr:uid="{00000000-0004-0000-0200-0000C0090000}"/>
    <hyperlink ref="G2059" r:id="rId2498" xr:uid="{00000000-0004-0000-0200-0000C1090000}"/>
    <hyperlink ref="F2061" r:id="rId2499" xr:uid="{00000000-0004-0000-0200-0000C2090000}"/>
    <hyperlink ref="S2061" r:id="rId2500" xr:uid="{00000000-0004-0000-0200-0000C3090000}"/>
    <hyperlink ref="F2062" r:id="rId2501" xr:uid="{00000000-0004-0000-0200-0000C4090000}"/>
    <hyperlink ref="Q2062" r:id="rId2502" xr:uid="{00000000-0004-0000-0200-0000C5090000}"/>
    <hyperlink ref="S2062" r:id="rId2503" xr:uid="{00000000-0004-0000-0200-0000C6090000}"/>
    <hyperlink ref="F2063" r:id="rId2504" xr:uid="{00000000-0004-0000-0200-0000C7090000}"/>
    <hyperlink ref="S2063" r:id="rId2505" xr:uid="{00000000-0004-0000-0200-0000C8090000}"/>
    <hyperlink ref="F2065" r:id="rId2506" xr:uid="{00000000-0004-0000-0200-0000C9090000}"/>
    <hyperlink ref="S2065" r:id="rId2507" xr:uid="{00000000-0004-0000-0200-0000CA090000}"/>
    <hyperlink ref="F2067" r:id="rId2508" xr:uid="{00000000-0004-0000-0200-0000CB090000}"/>
    <hyperlink ref="F2068" r:id="rId2509" xr:uid="{00000000-0004-0000-0200-0000CC090000}"/>
    <hyperlink ref="F2070" r:id="rId2510" xr:uid="{00000000-0004-0000-0200-0000CD090000}"/>
    <hyperlink ref="S2070" r:id="rId2511" xr:uid="{00000000-0004-0000-0200-0000CE090000}"/>
    <hyperlink ref="F2071" r:id="rId2512" xr:uid="{00000000-0004-0000-0200-0000CF090000}"/>
    <hyperlink ref="G2071" r:id="rId2513" xr:uid="{00000000-0004-0000-0200-0000D0090000}"/>
    <hyperlink ref="F2072" r:id="rId2514" location="click=https://t.co/Hqz11PjEbb" xr:uid="{00000000-0004-0000-0200-0000D1090000}"/>
    <hyperlink ref="G2072" r:id="rId2515" xr:uid="{00000000-0004-0000-0200-0000D2090000}"/>
    <hyperlink ref="F2073" r:id="rId2516" xr:uid="{00000000-0004-0000-0200-0000D3090000}"/>
    <hyperlink ref="S2074" r:id="rId2517" xr:uid="{00000000-0004-0000-0200-0000D4090000}"/>
    <hyperlink ref="F2075" r:id="rId2518" xr:uid="{00000000-0004-0000-0200-0000D5090000}"/>
    <hyperlink ref="G2075" r:id="rId2519" xr:uid="{00000000-0004-0000-0200-0000D6090000}"/>
    <hyperlink ref="S2075" r:id="rId2520" xr:uid="{00000000-0004-0000-0200-0000D7090000}"/>
    <hyperlink ref="G2076" r:id="rId2521" xr:uid="{00000000-0004-0000-0200-0000D8090000}"/>
    <hyperlink ref="F2077" r:id="rId2522" xr:uid="{00000000-0004-0000-0200-0000D9090000}"/>
    <hyperlink ref="F2078" r:id="rId2523" xr:uid="{00000000-0004-0000-0200-0000DA090000}"/>
    <hyperlink ref="F2081" r:id="rId2524" xr:uid="{00000000-0004-0000-0200-0000DB090000}"/>
    <hyperlink ref="S2081" r:id="rId2525" xr:uid="{00000000-0004-0000-0200-0000DC090000}"/>
    <hyperlink ref="F2082" r:id="rId2526" xr:uid="{00000000-0004-0000-0200-0000DD090000}"/>
    <hyperlink ref="F2083" r:id="rId2527" xr:uid="{00000000-0004-0000-0200-0000DE090000}"/>
    <hyperlink ref="F2084" r:id="rId2528" xr:uid="{00000000-0004-0000-0200-0000DF090000}"/>
    <hyperlink ref="S2085" r:id="rId2529" xr:uid="{00000000-0004-0000-0200-0000E0090000}"/>
    <hyperlink ref="F2086" r:id="rId2530" xr:uid="{00000000-0004-0000-0200-0000E1090000}"/>
    <hyperlink ref="G2088" r:id="rId2531" xr:uid="{00000000-0004-0000-0200-0000E2090000}"/>
    <hyperlink ref="S2088" r:id="rId2532" xr:uid="{00000000-0004-0000-0200-0000E3090000}"/>
    <hyperlink ref="S2089" r:id="rId2533" xr:uid="{00000000-0004-0000-0200-0000E4090000}"/>
    <hyperlink ref="G2090" r:id="rId2534" xr:uid="{00000000-0004-0000-0200-0000E5090000}"/>
    <hyperlink ref="F2091" r:id="rId2535" xr:uid="{00000000-0004-0000-0200-0000E6090000}"/>
    <hyperlink ref="S2091" r:id="rId2536" xr:uid="{00000000-0004-0000-0200-0000E7090000}"/>
    <hyperlink ref="F2092" r:id="rId2537" xr:uid="{00000000-0004-0000-0200-0000E8090000}"/>
    <hyperlink ref="F2093" r:id="rId2538" xr:uid="{00000000-0004-0000-0200-0000E9090000}"/>
    <hyperlink ref="F2094" r:id="rId2539" xr:uid="{00000000-0004-0000-0200-0000EA090000}"/>
    <hyperlink ref="F2095" r:id="rId2540" xr:uid="{00000000-0004-0000-0200-0000EB090000}"/>
    <hyperlink ref="G2095" r:id="rId2541" xr:uid="{00000000-0004-0000-0200-0000EC090000}"/>
    <hyperlink ref="S2095" r:id="rId2542" xr:uid="{00000000-0004-0000-0200-0000ED090000}"/>
    <hyperlink ref="F2097" r:id="rId2543" xr:uid="{00000000-0004-0000-0200-0000EE090000}"/>
    <hyperlink ref="F2098" r:id="rId2544" xr:uid="{00000000-0004-0000-0200-0000EF090000}"/>
    <hyperlink ref="S2098" r:id="rId2545" xr:uid="{00000000-0004-0000-0200-0000F0090000}"/>
    <hyperlink ref="F2099" r:id="rId2546" xr:uid="{00000000-0004-0000-0200-0000F1090000}"/>
    <hyperlink ref="S2099" r:id="rId2547" xr:uid="{00000000-0004-0000-0200-0000F2090000}"/>
    <hyperlink ref="G2101" r:id="rId2548" xr:uid="{00000000-0004-0000-0200-0000F3090000}"/>
    <hyperlink ref="F2104" r:id="rId2549" xr:uid="{00000000-0004-0000-0200-0000F4090000}"/>
    <hyperlink ref="G2104" r:id="rId2550" xr:uid="{00000000-0004-0000-0200-0000F5090000}"/>
    <hyperlink ref="S2105" r:id="rId2551" xr:uid="{00000000-0004-0000-0200-0000F6090000}"/>
    <hyperlink ref="F2107" r:id="rId2552" xr:uid="{00000000-0004-0000-0200-0000F7090000}"/>
    <hyperlink ref="G2107" r:id="rId2553" xr:uid="{00000000-0004-0000-0200-0000F8090000}"/>
    <hyperlink ref="F2108" r:id="rId2554" xr:uid="{00000000-0004-0000-0200-0000F9090000}"/>
    <hyperlink ref="G2108" r:id="rId2555" xr:uid="{00000000-0004-0000-0200-0000FA090000}"/>
    <hyperlink ref="F2109" r:id="rId2556" xr:uid="{00000000-0004-0000-0200-0000FB090000}"/>
    <hyperlink ref="G2109" r:id="rId2557" xr:uid="{00000000-0004-0000-0200-0000FC090000}"/>
    <hyperlink ref="G2110" r:id="rId2558" xr:uid="{00000000-0004-0000-0200-0000FD090000}"/>
    <hyperlink ref="F2111" r:id="rId2559" xr:uid="{00000000-0004-0000-0200-0000FE090000}"/>
    <hyperlink ref="F2112" r:id="rId2560" xr:uid="{00000000-0004-0000-0200-0000FF090000}"/>
    <hyperlink ref="F2113" r:id="rId2561" xr:uid="{00000000-0004-0000-0200-0000000A0000}"/>
    <hyperlink ref="F2114" r:id="rId2562" xr:uid="{00000000-0004-0000-0200-0000010A0000}"/>
    <hyperlink ref="S2115" r:id="rId2563" xr:uid="{00000000-0004-0000-0200-0000020A0000}"/>
    <hyperlink ref="F2116" r:id="rId2564" xr:uid="{00000000-0004-0000-0200-0000030A0000}"/>
    <hyperlink ref="G2116" r:id="rId2565" xr:uid="{00000000-0004-0000-0200-0000040A0000}"/>
    <hyperlink ref="S2116" r:id="rId2566" xr:uid="{00000000-0004-0000-0200-0000050A0000}"/>
    <hyperlink ref="F2118" r:id="rId2567" xr:uid="{00000000-0004-0000-0200-0000060A0000}"/>
    <hyperlink ref="S2118" r:id="rId2568" xr:uid="{00000000-0004-0000-0200-0000070A0000}"/>
    <hyperlink ref="F2119" r:id="rId2569" xr:uid="{00000000-0004-0000-0200-0000080A0000}"/>
    <hyperlink ref="F2120" r:id="rId2570" xr:uid="{00000000-0004-0000-0200-0000090A0000}"/>
    <hyperlink ref="G2120" r:id="rId2571" xr:uid="{00000000-0004-0000-0200-00000A0A0000}"/>
    <hyperlink ref="S2120" r:id="rId2572" xr:uid="{00000000-0004-0000-0200-00000B0A0000}"/>
    <hyperlink ref="F2121" r:id="rId2573" xr:uid="{00000000-0004-0000-0200-00000C0A0000}"/>
    <hyperlink ref="S2121" r:id="rId2574" xr:uid="{00000000-0004-0000-0200-00000D0A0000}"/>
    <hyperlink ref="F2122" r:id="rId2575" xr:uid="{00000000-0004-0000-0200-00000E0A0000}"/>
    <hyperlink ref="F2123" r:id="rId2576" xr:uid="{00000000-0004-0000-0200-00000F0A0000}"/>
    <hyperlink ref="Q2123" r:id="rId2577" xr:uid="{00000000-0004-0000-0200-0000100A0000}"/>
    <hyperlink ref="S2123" r:id="rId2578" xr:uid="{00000000-0004-0000-0200-0000110A0000}"/>
    <hyperlink ref="F2125" r:id="rId2579" xr:uid="{00000000-0004-0000-0200-0000120A0000}"/>
    <hyperlink ref="S2125" r:id="rId2580" xr:uid="{00000000-0004-0000-0200-0000130A0000}"/>
    <hyperlink ref="F2126" r:id="rId2581" xr:uid="{00000000-0004-0000-0200-0000140A0000}"/>
    <hyperlink ref="F2127" r:id="rId2582" xr:uid="{00000000-0004-0000-0200-0000150A0000}"/>
    <hyperlink ref="F2130" r:id="rId2583" xr:uid="{00000000-0004-0000-0200-0000160A0000}"/>
    <hyperlink ref="F2131" r:id="rId2584" xr:uid="{00000000-0004-0000-0200-0000170A0000}"/>
    <hyperlink ref="S2131" r:id="rId2585" xr:uid="{00000000-0004-0000-0200-0000180A0000}"/>
    <hyperlink ref="G2132" r:id="rId2586" xr:uid="{00000000-0004-0000-0200-0000190A0000}"/>
    <hyperlink ref="F2133" r:id="rId2587" xr:uid="{00000000-0004-0000-0200-00001A0A0000}"/>
    <hyperlink ref="S2133" r:id="rId2588" xr:uid="{00000000-0004-0000-0200-00001B0A0000}"/>
    <hyperlink ref="F2134" r:id="rId2589" xr:uid="{00000000-0004-0000-0200-00001C0A0000}"/>
    <hyperlink ref="S2134" r:id="rId2590" xr:uid="{00000000-0004-0000-0200-00001D0A0000}"/>
    <hyperlink ref="F2135" r:id="rId2591" xr:uid="{00000000-0004-0000-0200-00001E0A0000}"/>
    <hyperlink ref="C2136" r:id="rId2592" xr:uid="{00000000-0004-0000-0200-00001F0A0000}"/>
    <hyperlink ref="F2136" r:id="rId2593" xr:uid="{00000000-0004-0000-0200-0000200A0000}"/>
    <hyperlink ref="G2136" r:id="rId2594" xr:uid="{00000000-0004-0000-0200-0000210A0000}"/>
    <hyperlink ref="S2136" r:id="rId2595" xr:uid="{00000000-0004-0000-0200-0000220A0000}"/>
    <hyperlink ref="F2137" r:id="rId2596" xr:uid="{00000000-0004-0000-0200-0000230A0000}"/>
    <hyperlink ref="F2139" r:id="rId2597" xr:uid="{00000000-0004-0000-0200-0000240A0000}"/>
    <hyperlink ref="S2139" r:id="rId2598" xr:uid="{00000000-0004-0000-0200-0000250A0000}"/>
    <hyperlink ref="F2140" r:id="rId2599" xr:uid="{00000000-0004-0000-0200-0000260A0000}"/>
    <hyperlink ref="F2141" r:id="rId2600" xr:uid="{00000000-0004-0000-0200-0000270A0000}"/>
    <hyperlink ref="S2141" r:id="rId2601" xr:uid="{00000000-0004-0000-0200-0000280A0000}"/>
    <hyperlink ref="F2142" r:id="rId2602" xr:uid="{00000000-0004-0000-0200-0000290A0000}"/>
    <hyperlink ref="F2143" r:id="rId2603" xr:uid="{00000000-0004-0000-0200-00002A0A0000}"/>
    <hyperlink ref="G2144" r:id="rId2604" xr:uid="{00000000-0004-0000-0200-00002B0A0000}"/>
    <hyperlink ref="G2147" r:id="rId2605" xr:uid="{00000000-0004-0000-0200-00002C0A0000}"/>
    <hyperlink ref="S2147" r:id="rId2606" xr:uid="{00000000-0004-0000-0200-00002D0A0000}"/>
    <hyperlink ref="F2148" r:id="rId2607" xr:uid="{00000000-0004-0000-0200-00002E0A0000}"/>
    <hyperlink ref="S2148" r:id="rId2608" xr:uid="{00000000-0004-0000-0200-00002F0A0000}"/>
    <hyperlink ref="F2149" r:id="rId2609" xr:uid="{00000000-0004-0000-0200-0000300A0000}"/>
    <hyperlink ref="F2150" r:id="rId2610" xr:uid="{00000000-0004-0000-0200-0000310A0000}"/>
    <hyperlink ref="S2150" r:id="rId2611" xr:uid="{00000000-0004-0000-0200-0000320A0000}"/>
    <hyperlink ref="G2151" r:id="rId2612" xr:uid="{00000000-0004-0000-0200-0000330A0000}"/>
    <hyperlink ref="S2151" r:id="rId2613" xr:uid="{00000000-0004-0000-0200-0000340A0000}"/>
    <hyperlink ref="F2152" r:id="rId2614" xr:uid="{00000000-0004-0000-0200-0000350A0000}"/>
    <hyperlink ref="G2153" r:id="rId2615" xr:uid="{00000000-0004-0000-0200-0000360A0000}"/>
    <hyperlink ref="S2153" r:id="rId2616" xr:uid="{00000000-0004-0000-0200-0000370A0000}"/>
    <hyperlink ref="F2154" r:id="rId2617" xr:uid="{00000000-0004-0000-0200-0000380A0000}"/>
    <hyperlink ref="S2154" r:id="rId2618" xr:uid="{00000000-0004-0000-0200-0000390A0000}"/>
    <hyperlink ref="F2155" r:id="rId2619" xr:uid="{00000000-0004-0000-0200-00003A0A0000}"/>
    <hyperlink ref="F2157" r:id="rId2620" xr:uid="{00000000-0004-0000-0200-00003B0A0000}"/>
    <hyperlink ref="G2157" r:id="rId2621" xr:uid="{00000000-0004-0000-0200-00003C0A0000}"/>
    <hyperlink ref="S2157" r:id="rId2622" xr:uid="{00000000-0004-0000-0200-00003D0A0000}"/>
    <hyperlink ref="G2158" r:id="rId2623" xr:uid="{00000000-0004-0000-0200-00003E0A0000}"/>
    <hyperlink ref="C2161" r:id="rId2624" xr:uid="{00000000-0004-0000-0200-00003F0A0000}"/>
    <hyperlink ref="F2161" r:id="rId2625" xr:uid="{00000000-0004-0000-0200-0000400A0000}"/>
    <hyperlink ref="S2161" r:id="rId2626" xr:uid="{00000000-0004-0000-0200-0000410A0000}"/>
    <hyperlink ref="F2162" r:id="rId2627" xr:uid="{00000000-0004-0000-0200-0000420A0000}"/>
    <hyperlink ref="F2163" r:id="rId2628" xr:uid="{00000000-0004-0000-0200-0000430A0000}"/>
    <hyperlink ref="F2164" r:id="rId2629" xr:uid="{00000000-0004-0000-0200-0000440A0000}"/>
    <hyperlink ref="F2165" r:id="rId2630" xr:uid="{00000000-0004-0000-0200-0000450A0000}"/>
    <hyperlink ref="F2166" r:id="rId2631" xr:uid="{00000000-0004-0000-0200-0000460A0000}"/>
    <hyperlink ref="S2166" r:id="rId2632" xr:uid="{00000000-0004-0000-0200-0000470A0000}"/>
    <hyperlink ref="F2167" r:id="rId2633" xr:uid="{00000000-0004-0000-0200-0000480A0000}"/>
    <hyperlink ref="S2167" r:id="rId2634" xr:uid="{00000000-0004-0000-0200-0000490A0000}"/>
    <hyperlink ref="F2168" r:id="rId2635" xr:uid="{00000000-0004-0000-0200-00004A0A0000}"/>
    <hyperlink ref="S2168" r:id="rId2636" xr:uid="{00000000-0004-0000-0200-00004B0A0000}"/>
    <hyperlink ref="F2169" r:id="rId2637" xr:uid="{00000000-0004-0000-0200-00004C0A0000}"/>
    <hyperlink ref="G2169" r:id="rId2638" xr:uid="{00000000-0004-0000-0200-00004D0A0000}"/>
    <hyperlink ref="F2170" r:id="rId2639" xr:uid="{00000000-0004-0000-0200-00004E0A0000}"/>
    <hyperlink ref="S2171" r:id="rId2640" xr:uid="{00000000-0004-0000-0200-00004F0A0000}"/>
    <hyperlink ref="F2173" r:id="rId2641" xr:uid="{00000000-0004-0000-0200-0000500A0000}"/>
    <hyperlink ref="S2173" r:id="rId2642" xr:uid="{00000000-0004-0000-0200-0000510A0000}"/>
    <hyperlink ref="G2175" r:id="rId2643" xr:uid="{00000000-0004-0000-0200-0000520A0000}"/>
    <hyperlink ref="S2175" r:id="rId2644" xr:uid="{00000000-0004-0000-0200-0000530A0000}"/>
    <hyperlink ref="S2176" r:id="rId2645" xr:uid="{00000000-0004-0000-0200-0000540A0000}"/>
    <hyperlink ref="F2180" r:id="rId2646" xr:uid="{00000000-0004-0000-0200-0000550A0000}"/>
    <hyperlink ref="G2180" r:id="rId2647" xr:uid="{00000000-0004-0000-0200-0000560A0000}"/>
    <hyperlink ref="S2180" r:id="rId2648" xr:uid="{00000000-0004-0000-0200-0000570A0000}"/>
    <hyperlink ref="F2181" r:id="rId2649" xr:uid="{00000000-0004-0000-0200-0000580A0000}"/>
    <hyperlink ref="F2182" r:id="rId2650" xr:uid="{00000000-0004-0000-0200-0000590A0000}"/>
    <hyperlink ref="F2183" r:id="rId2651" xr:uid="{00000000-0004-0000-0200-00005A0A0000}"/>
    <hyperlink ref="F2184" r:id="rId2652" xr:uid="{00000000-0004-0000-0200-00005B0A0000}"/>
    <hyperlink ref="F2185" r:id="rId2653" xr:uid="{00000000-0004-0000-0200-00005C0A0000}"/>
    <hyperlink ref="G2185" r:id="rId2654" xr:uid="{00000000-0004-0000-0200-00005D0A0000}"/>
    <hyperlink ref="C2186" r:id="rId2655" xr:uid="{00000000-0004-0000-0200-00005E0A0000}"/>
    <hyperlink ref="F2186" r:id="rId2656" xr:uid="{00000000-0004-0000-0200-00005F0A0000}"/>
    <hyperlink ref="S2186" r:id="rId2657" xr:uid="{00000000-0004-0000-0200-0000600A0000}"/>
    <hyperlink ref="F2189" r:id="rId2658" xr:uid="{00000000-0004-0000-0200-0000610A0000}"/>
    <hyperlink ref="F2190" r:id="rId2659" xr:uid="{00000000-0004-0000-0200-0000620A0000}"/>
    <hyperlink ref="S2190" r:id="rId2660" xr:uid="{00000000-0004-0000-0200-0000630A0000}"/>
    <hyperlink ref="F2191" r:id="rId2661" xr:uid="{00000000-0004-0000-0200-0000640A0000}"/>
    <hyperlink ref="S2191" r:id="rId2662" xr:uid="{00000000-0004-0000-0200-0000650A0000}"/>
    <hyperlink ref="S2192" r:id="rId2663" xr:uid="{00000000-0004-0000-0200-0000660A0000}"/>
    <hyperlink ref="F2195" r:id="rId2664" xr:uid="{00000000-0004-0000-0200-0000670A0000}"/>
    <hyperlink ref="F2196" r:id="rId2665" xr:uid="{00000000-0004-0000-0200-0000680A0000}"/>
    <hyperlink ref="S2196" r:id="rId2666" xr:uid="{00000000-0004-0000-0200-0000690A0000}"/>
    <hyperlink ref="F2197" r:id="rId2667" xr:uid="{00000000-0004-0000-0200-00006A0A0000}"/>
    <hyperlink ref="F2198" r:id="rId2668" xr:uid="{00000000-0004-0000-0200-00006B0A0000}"/>
    <hyperlink ref="G2199" r:id="rId2669" xr:uid="{00000000-0004-0000-0200-00006C0A0000}"/>
    <hyperlink ref="S2199" r:id="rId2670" xr:uid="{00000000-0004-0000-0200-00006D0A0000}"/>
    <hyperlink ref="F2200" r:id="rId2671" xr:uid="{00000000-0004-0000-0200-00006E0A0000}"/>
    <hyperlink ref="F2201" r:id="rId2672" xr:uid="{00000000-0004-0000-0200-00006F0A0000}"/>
    <hyperlink ref="S2201" r:id="rId2673" xr:uid="{00000000-0004-0000-0200-0000700A0000}"/>
    <hyperlink ref="F2202" r:id="rId2674" xr:uid="{00000000-0004-0000-0200-0000710A0000}"/>
    <hyperlink ref="F2203" r:id="rId2675" xr:uid="{00000000-0004-0000-0200-0000720A0000}"/>
    <hyperlink ref="S2203" r:id="rId2676" xr:uid="{00000000-0004-0000-0200-0000730A0000}"/>
    <hyperlink ref="F2206" r:id="rId2677" xr:uid="{00000000-0004-0000-0200-0000740A0000}"/>
    <hyperlink ref="S2207" r:id="rId2678" xr:uid="{00000000-0004-0000-0200-0000750A0000}"/>
    <hyperlink ref="F2208" r:id="rId2679" location=".W_F0MJpzBak.twitter" xr:uid="{00000000-0004-0000-0200-0000760A0000}"/>
    <hyperlink ref="F2209" r:id="rId2680" xr:uid="{00000000-0004-0000-0200-0000770A0000}"/>
    <hyperlink ref="F2210" r:id="rId2681" xr:uid="{00000000-0004-0000-0200-0000780A0000}"/>
    <hyperlink ref="S2211" r:id="rId2682" xr:uid="{00000000-0004-0000-0200-0000790A0000}"/>
    <hyperlink ref="F2212" r:id="rId2683" xr:uid="{00000000-0004-0000-0200-00007A0A0000}"/>
    <hyperlink ref="S2212" r:id="rId2684" xr:uid="{00000000-0004-0000-0200-00007B0A0000}"/>
    <hyperlink ref="F2213" r:id="rId2685" xr:uid="{00000000-0004-0000-0200-00007C0A0000}"/>
    <hyperlink ref="S2213" r:id="rId2686" xr:uid="{00000000-0004-0000-0200-00007D0A0000}"/>
    <hyperlink ref="G2215" r:id="rId2687" xr:uid="{00000000-0004-0000-0200-00007E0A0000}"/>
    <hyperlink ref="F2216" r:id="rId2688" xr:uid="{00000000-0004-0000-0200-00007F0A0000}"/>
    <hyperlink ref="S2216" r:id="rId2689" xr:uid="{00000000-0004-0000-0200-0000800A0000}"/>
    <hyperlink ref="S2218" r:id="rId2690" xr:uid="{00000000-0004-0000-0200-0000810A0000}"/>
    <hyperlink ref="S2219" r:id="rId2691" xr:uid="{00000000-0004-0000-0200-0000820A0000}"/>
    <hyperlink ref="F2221" r:id="rId2692" xr:uid="{00000000-0004-0000-0200-0000830A0000}"/>
    <hyperlink ref="G2222" r:id="rId2693" xr:uid="{00000000-0004-0000-0200-0000840A0000}"/>
    <hyperlink ref="S2222" r:id="rId2694" xr:uid="{00000000-0004-0000-0200-0000850A0000}"/>
    <hyperlink ref="F2223" r:id="rId2695" xr:uid="{00000000-0004-0000-0200-0000860A0000}"/>
    <hyperlink ref="F2224" r:id="rId2696" xr:uid="{00000000-0004-0000-0200-0000870A0000}"/>
    <hyperlink ref="S2224" r:id="rId2697" xr:uid="{00000000-0004-0000-0200-0000880A0000}"/>
    <hyperlink ref="F2225" r:id="rId2698" xr:uid="{00000000-0004-0000-0200-0000890A0000}"/>
    <hyperlink ref="S2225" r:id="rId2699" xr:uid="{00000000-0004-0000-0200-00008A0A0000}"/>
    <hyperlink ref="F2226" r:id="rId2700" xr:uid="{00000000-0004-0000-0200-00008B0A0000}"/>
    <hyperlink ref="S2227" r:id="rId2701" xr:uid="{00000000-0004-0000-0200-00008C0A0000}"/>
    <hyperlink ref="F2228" r:id="rId2702" xr:uid="{00000000-0004-0000-0200-00008D0A0000}"/>
    <hyperlink ref="F2229" r:id="rId2703" xr:uid="{00000000-0004-0000-0200-00008E0A0000}"/>
    <hyperlink ref="F2231" r:id="rId2704" xr:uid="{00000000-0004-0000-0200-00008F0A0000}"/>
    <hyperlink ref="S2231" r:id="rId2705" xr:uid="{00000000-0004-0000-0200-0000900A0000}"/>
    <hyperlink ref="F2232" r:id="rId2706" xr:uid="{00000000-0004-0000-0200-0000910A0000}"/>
    <hyperlink ref="F2233" r:id="rId2707" xr:uid="{00000000-0004-0000-0200-0000920A0000}"/>
    <hyperlink ref="F2235" r:id="rId2708" xr:uid="{00000000-0004-0000-0200-0000930A0000}"/>
    <hyperlink ref="F2236" r:id="rId2709" xr:uid="{00000000-0004-0000-0200-0000940A0000}"/>
    <hyperlink ref="F2237" r:id="rId2710" xr:uid="{00000000-0004-0000-0200-0000950A0000}"/>
    <hyperlink ref="S2237" r:id="rId2711" xr:uid="{00000000-0004-0000-0200-0000960A0000}"/>
    <hyperlink ref="F2238" r:id="rId2712" xr:uid="{00000000-0004-0000-0200-0000970A0000}"/>
    <hyperlink ref="F2239" r:id="rId2713" xr:uid="{00000000-0004-0000-0200-0000980A0000}"/>
    <hyperlink ref="S2240" r:id="rId2714" xr:uid="{00000000-0004-0000-0200-0000990A0000}"/>
    <hyperlink ref="S2241" r:id="rId2715" xr:uid="{00000000-0004-0000-0200-00009A0A0000}"/>
    <hyperlink ref="F2243" r:id="rId2716" xr:uid="{00000000-0004-0000-0200-00009B0A0000}"/>
    <hyperlink ref="F2244" r:id="rId2717" xr:uid="{00000000-0004-0000-0200-00009C0A0000}"/>
    <hyperlink ref="S2244" r:id="rId2718" xr:uid="{00000000-0004-0000-0200-00009D0A0000}"/>
    <hyperlink ref="G2245" r:id="rId2719" xr:uid="{00000000-0004-0000-0200-00009E0A0000}"/>
    <hyperlink ref="F2246" r:id="rId2720" xr:uid="{00000000-0004-0000-0200-00009F0A0000}"/>
    <hyperlink ref="S2246" r:id="rId2721" xr:uid="{00000000-0004-0000-0200-0000A00A0000}"/>
    <hyperlink ref="F2247" r:id="rId2722" xr:uid="{00000000-0004-0000-0200-0000A10A0000}"/>
    <hyperlink ref="S2247" r:id="rId2723" xr:uid="{00000000-0004-0000-0200-0000A20A0000}"/>
    <hyperlink ref="G2248" r:id="rId2724" xr:uid="{00000000-0004-0000-0200-0000A30A0000}"/>
    <hyperlink ref="G2250" r:id="rId2725" xr:uid="{00000000-0004-0000-0200-0000A40A0000}"/>
    <hyperlink ref="F2251" r:id="rId2726" xr:uid="{00000000-0004-0000-0200-0000A50A0000}"/>
    <hyperlink ref="F2252" r:id="rId2727" xr:uid="{00000000-0004-0000-0200-0000A60A0000}"/>
    <hyperlink ref="F2253" r:id="rId2728" xr:uid="{00000000-0004-0000-0200-0000A70A0000}"/>
    <hyperlink ref="G2253" r:id="rId2729" xr:uid="{00000000-0004-0000-0200-0000A80A0000}"/>
    <hyperlink ref="S2253" r:id="rId2730" xr:uid="{00000000-0004-0000-0200-0000A90A0000}"/>
    <hyperlink ref="F2255" r:id="rId2731" xr:uid="{00000000-0004-0000-0200-0000AA0A0000}"/>
    <hyperlink ref="F2256" r:id="rId2732" xr:uid="{00000000-0004-0000-0200-0000AB0A0000}"/>
    <hyperlink ref="S2256" r:id="rId2733" xr:uid="{00000000-0004-0000-0200-0000AC0A0000}"/>
    <hyperlink ref="F2258" r:id="rId2734" xr:uid="{00000000-0004-0000-0200-0000AD0A0000}"/>
    <hyperlink ref="S2258" r:id="rId2735" xr:uid="{00000000-0004-0000-0200-0000AE0A0000}"/>
    <hyperlink ref="F2259" r:id="rId2736" xr:uid="{00000000-0004-0000-0200-0000AF0A0000}"/>
    <hyperlink ref="F2260" r:id="rId2737" xr:uid="{00000000-0004-0000-0200-0000B00A0000}"/>
    <hyperlink ref="F2261" r:id="rId2738" xr:uid="{00000000-0004-0000-0200-0000B10A0000}"/>
    <hyperlink ref="S2261" r:id="rId2739" xr:uid="{00000000-0004-0000-0200-0000B20A0000}"/>
    <hyperlink ref="S2264" r:id="rId2740" xr:uid="{00000000-0004-0000-0200-0000B30A0000}"/>
    <hyperlink ref="G2266" r:id="rId2741" xr:uid="{00000000-0004-0000-0200-0000B40A0000}"/>
    <hyperlink ref="F2272" r:id="rId2742" xr:uid="{00000000-0004-0000-0200-0000B50A0000}"/>
    <hyperlink ref="G2272" r:id="rId2743" xr:uid="{00000000-0004-0000-0200-0000B60A0000}"/>
    <hyperlink ref="S2272" r:id="rId2744" xr:uid="{00000000-0004-0000-0200-0000B70A0000}"/>
    <hyperlink ref="F2275" r:id="rId2745" xr:uid="{00000000-0004-0000-0200-0000B80A0000}"/>
    <hyperlink ref="S2275" r:id="rId2746" xr:uid="{00000000-0004-0000-0200-0000B90A0000}"/>
    <hyperlink ref="G2276" r:id="rId2747" xr:uid="{00000000-0004-0000-0200-0000BA0A0000}"/>
    <hyperlink ref="F2278" r:id="rId2748" xr:uid="{00000000-0004-0000-0200-0000BB0A0000}"/>
    <hyperlink ref="F2279" r:id="rId2749" xr:uid="{00000000-0004-0000-0200-0000BC0A0000}"/>
    <hyperlink ref="G2280" r:id="rId2750" xr:uid="{00000000-0004-0000-0200-0000BD0A0000}"/>
    <hyperlink ref="C2281" r:id="rId2751" xr:uid="{00000000-0004-0000-0200-0000BE0A0000}"/>
    <hyperlink ref="F2281" r:id="rId2752" xr:uid="{00000000-0004-0000-0200-0000BF0A0000}"/>
    <hyperlink ref="G2281" r:id="rId2753" xr:uid="{00000000-0004-0000-0200-0000C00A0000}"/>
    <hyperlink ref="S2281" r:id="rId2754" xr:uid="{00000000-0004-0000-0200-0000C10A0000}"/>
    <hyperlink ref="F2282" r:id="rId2755" xr:uid="{00000000-0004-0000-0200-0000C20A0000}"/>
    <hyperlink ref="F2283" r:id="rId2756" xr:uid="{00000000-0004-0000-0200-0000C30A0000}"/>
    <hyperlink ref="F2284" r:id="rId2757" xr:uid="{00000000-0004-0000-0200-0000C40A0000}"/>
    <hyperlink ref="S2284" r:id="rId2758" xr:uid="{00000000-0004-0000-0200-0000C50A0000}"/>
    <hyperlink ref="S2286" r:id="rId2759" xr:uid="{00000000-0004-0000-0200-0000C60A0000}"/>
    <hyperlink ref="G2287" r:id="rId2760" xr:uid="{00000000-0004-0000-0200-0000C70A0000}"/>
    <hyperlink ref="F2288" r:id="rId2761" xr:uid="{00000000-0004-0000-0200-0000C80A0000}"/>
    <hyperlink ref="S2288" r:id="rId2762" xr:uid="{00000000-0004-0000-0200-0000C90A0000}"/>
    <hyperlink ref="F2289" r:id="rId2763" xr:uid="{00000000-0004-0000-0200-0000CA0A0000}"/>
    <hyperlink ref="S2289" r:id="rId2764" xr:uid="{00000000-0004-0000-0200-0000CB0A0000}"/>
    <hyperlink ref="F2290" r:id="rId2765" xr:uid="{00000000-0004-0000-0200-0000CC0A0000}"/>
    <hyperlink ref="G2290" r:id="rId2766" xr:uid="{00000000-0004-0000-0200-0000CD0A0000}"/>
    <hyperlink ref="F2291" r:id="rId2767" xr:uid="{00000000-0004-0000-0200-0000CE0A0000}"/>
    <hyperlink ref="S2291" r:id="rId2768" xr:uid="{00000000-0004-0000-0200-0000CF0A0000}"/>
    <hyperlink ref="F2292" r:id="rId2769" xr:uid="{00000000-0004-0000-0200-0000D00A0000}"/>
    <hyperlink ref="S2292" r:id="rId2770" xr:uid="{00000000-0004-0000-0200-0000D10A0000}"/>
    <hyperlink ref="S2293" r:id="rId2771" xr:uid="{00000000-0004-0000-0200-0000D20A0000}"/>
    <hyperlink ref="F2295" r:id="rId2772" xr:uid="{00000000-0004-0000-0200-0000D30A0000}"/>
    <hyperlink ref="S2295" r:id="rId2773" xr:uid="{00000000-0004-0000-0200-0000D40A0000}"/>
    <hyperlink ref="F2296" r:id="rId2774" xr:uid="{00000000-0004-0000-0200-0000D50A0000}"/>
    <hyperlink ref="G2296" r:id="rId2775" xr:uid="{00000000-0004-0000-0200-0000D60A0000}"/>
    <hyperlink ref="F2298" r:id="rId2776" xr:uid="{00000000-0004-0000-0200-0000D70A0000}"/>
    <hyperlink ref="S2298" r:id="rId2777" xr:uid="{00000000-0004-0000-0200-0000D80A0000}"/>
    <hyperlink ref="F2299" r:id="rId2778" xr:uid="{00000000-0004-0000-0200-0000D90A0000}"/>
    <hyperlink ref="S2301" r:id="rId2779" xr:uid="{00000000-0004-0000-0200-0000DA0A0000}"/>
    <hyperlink ref="F2302" r:id="rId2780" xr:uid="{00000000-0004-0000-0200-0000DB0A0000}"/>
    <hyperlink ref="F2303" r:id="rId2781" xr:uid="{00000000-0004-0000-0200-0000DC0A0000}"/>
    <hyperlink ref="S2303" r:id="rId2782" xr:uid="{00000000-0004-0000-0200-0000DD0A0000}"/>
    <hyperlink ref="F2304" r:id="rId2783" xr:uid="{00000000-0004-0000-0200-0000DE0A0000}"/>
    <hyperlink ref="F2305" r:id="rId2784" xr:uid="{00000000-0004-0000-0200-0000DF0A0000}"/>
    <hyperlink ref="G2305" r:id="rId2785" xr:uid="{00000000-0004-0000-0200-0000E00A0000}"/>
    <hyperlink ref="F2307" r:id="rId2786" xr:uid="{00000000-0004-0000-0200-0000E10A0000}"/>
    <hyperlink ref="S2307" r:id="rId2787" xr:uid="{00000000-0004-0000-0200-0000E20A0000}"/>
    <hyperlink ref="F2308" r:id="rId2788" xr:uid="{00000000-0004-0000-0200-0000E30A0000}"/>
    <hyperlink ref="F2309" r:id="rId2789" xr:uid="{00000000-0004-0000-0200-0000E40A0000}"/>
    <hyperlink ref="G2309" r:id="rId2790" xr:uid="{00000000-0004-0000-0200-0000E50A0000}"/>
    <hyperlink ref="S2309" r:id="rId2791" xr:uid="{00000000-0004-0000-0200-0000E60A0000}"/>
    <hyperlink ref="G2310" r:id="rId2792" xr:uid="{00000000-0004-0000-0200-0000E70A0000}"/>
    <hyperlink ref="S2313" r:id="rId2793" xr:uid="{00000000-0004-0000-0200-0000E80A0000}"/>
    <hyperlink ref="F2314" r:id="rId2794" xr:uid="{00000000-0004-0000-0200-0000E90A0000}"/>
    <hyperlink ref="F2315" r:id="rId2795" xr:uid="{00000000-0004-0000-0200-0000EA0A0000}"/>
    <hyperlink ref="F2316" r:id="rId2796" xr:uid="{00000000-0004-0000-0200-0000EB0A0000}"/>
    <hyperlink ref="G2318" r:id="rId2797" xr:uid="{00000000-0004-0000-0200-0000EC0A0000}"/>
    <hyperlink ref="F2320" r:id="rId2798" xr:uid="{00000000-0004-0000-0200-0000ED0A0000}"/>
    <hyperlink ref="S2321" r:id="rId2799" xr:uid="{00000000-0004-0000-0200-0000EE0A0000}"/>
    <hyperlink ref="S2323" r:id="rId2800" xr:uid="{00000000-0004-0000-0200-0000EF0A0000}"/>
    <hyperlink ref="S2324" r:id="rId2801" xr:uid="{00000000-0004-0000-0200-0000F00A0000}"/>
    <hyperlink ref="F2325" r:id="rId2802" xr:uid="{00000000-0004-0000-0200-0000F10A0000}"/>
    <hyperlink ref="S2325" r:id="rId2803" xr:uid="{00000000-0004-0000-0200-0000F20A0000}"/>
    <hyperlink ref="F2326" r:id="rId2804" xr:uid="{00000000-0004-0000-0200-0000F30A0000}"/>
    <hyperlink ref="F2327" r:id="rId2805" xr:uid="{00000000-0004-0000-0200-0000F40A0000}"/>
    <hyperlink ref="F2328" r:id="rId2806" xr:uid="{00000000-0004-0000-0200-0000F50A0000}"/>
    <hyperlink ref="S2328" r:id="rId2807" xr:uid="{00000000-0004-0000-0200-0000F60A0000}"/>
    <hyperlink ref="F2329" r:id="rId2808" xr:uid="{00000000-0004-0000-0200-0000F70A0000}"/>
    <hyperlink ref="G2330" r:id="rId2809" xr:uid="{00000000-0004-0000-0200-0000F80A0000}"/>
    <hyperlink ref="S2330" r:id="rId2810" xr:uid="{00000000-0004-0000-0200-0000F90A0000}"/>
    <hyperlink ref="F2331" r:id="rId2811" xr:uid="{00000000-0004-0000-0200-0000FA0A0000}"/>
    <hyperlink ref="S2331" r:id="rId2812" xr:uid="{00000000-0004-0000-0200-0000FB0A0000}"/>
    <hyperlink ref="F2332" r:id="rId2813" xr:uid="{00000000-0004-0000-0200-0000FC0A0000}"/>
    <hyperlink ref="S2332" r:id="rId2814" xr:uid="{00000000-0004-0000-0200-0000FD0A0000}"/>
    <hyperlink ref="F2333" r:id="rId2815" xr:uid="{00000000-0004-0000-0200-0000FE0A0000}"/>
    <hyperlink ref="F2334" r:id="rId2816" xr:uid="{00000000-0004-0000-0200-0000FF0A0000}"/>
    <hyperlink ref="F2335" r:id="rId2817" xr:uid="{00000000-0004-0000-0200-0000000B0000}"/>
    <hyperlink ref="F2336" r:id="rId2818" xr:uid="{00000000-0004-0000-0200-0000010B0000}"/>
    <hyperlink ref="F2337" r:id="rId2819" xr:uid="{00000000-0004-0000-0200-0000020B0000}"/>
    <hyperlink ref="G2338" r:id="rId2820" xr:uid="{00000000-0004-0000-0200-0000030B0000}"/>
    <hyperlink ref="S2339" r:id="rId2821" xr:uid="{00000000-0004-0000-0200-0000040B0000}"/>
    <hyperlink ref="F2340" r:id="rId2822" xr:uid="{00000000-0004-0000-0200-0000050B0000}"/>
    <hyperlink ref="F2341" r:id="rId2823" xr:uid="{00000000-0004-0000-0200-0000060B0000}"/>
    <hyperlink ref="G2342" r:id="rId2824" xr:uid="{00000000-0004-0000-0200-0000070B0000}"/>
    <hyperlink ref="F2343" r:id="rId2825" xr:uid="{00000000-0004-0000-0200-0000080B0000}"/>
    <hyperlink ref="F2344" r:id="rId2826" xr:uid="{00000000-0004-0000-0200-0000090B0000}"/>
    <hyperlink ref="S2344" r:id="rId2827" xr:uid="{00000000-0004-0000-0200-00000A0B0000}"/>
    <hyperlink ref="S2348" r:id="rId2828" xr:uid="{00000000-0004-0000-0200-00000B0B0000}"/>
    <hyperlink ref="G2349" r:id="rId2829" xr:uid="{00000000-0004-0000-0200-00000C0B0000}"/>
    <hyperlink ref="F2350" r:id="rId2830" xr:uid="{00000000-0004-0000-0200-00000D0B0000}"/>
    <hyperlink ref="S2351" r:id="rId2831" xr:uid="{00000000-0004-0000-0200-00000E0B0000}"/>
    <hyperlink ref="F2352" r:id="rId2832" xr:uid="{00000000-0004-0000-0200-00000F0B0000}"/>
    <hyperlink ref="G2353" r:id="rId2833" xr:uid="{00000000-0004-0000-0200-0000100B0000}"/>
    <hyperlink ref="S2353" r:id="rId2834" xr:uid="{00000000-0004-0000-0200-0000110B0000}"/>
    <hyperlink ref="F2355" r:id="rId2835" xr:uid="{00000000-0004-0000-0200-0000120B0000}"/>
    <hyperlink ref="S2355" r:id="rId2836" xr:uid="{00000000-0004-0000-0200-0000130B0000}"/>
    <hyperlink ref="F2356" r:id="rId2837" xr:uid="{00000000-0004-0000-0200-0000140B0000}"/>
    <hyperlink ref="F2359" r:id="rId2838" xr:uid="{00000000-0004-0000-0200-0000150B0000}"/>
    <hyperlink ref="F2360" r:id="rId2839" xr:uid="{00000000-0004-0000-0200-0000160B0000}"/>
    <hyperlink ref="F2361" r:id="rId2840" xr:uid="{00000000-0004-0000-0200-0000170B0000}"/>
    <hyperlink ref="G2362" r:id="rId2841" xr:uid="{00000000-0004-0000-0200-0000180B0000}"/>
    <hyperlink ref="S2362" r:id="rId2842" xr:uid="{00000000-0004-0000-0200-0000190B0000}"/>
    <hyperlink ref="S2363" r:id="rId2843" xr:uid="{00000000-0004-0000-0200-00001A0B0000}"/>
    <hyperlink ref="G2364" r:id="rId2844" xr:uid="{00000000-0004-0000-0200-00001B0B0000}"/>
    <hyperlink ref="G2365" r:id="rId2845" xr:uid="{00000000-0004-0000-0200-00001C0B0000}"/>
    <hyperlink ref="S2365" r:id="rId2846" xr:uid="{00000000-0004-0000-0200-00001D0B0000}"/>
    <hyperlink ref="G2366" r:id="rId2847" xr:uid="{00000000-0004-0000-0200-00001E0B0000}"/>
    <hyperlink ref="F2367" r:id="rId2848" xr:uid="{00000000-0004-0000-0200-00001F0B0000}"/>
    <hyperlink ref="G2368" r:id="rId2849" xr:uid="{00000000-0004-0000-0200-0000200B0000}"/>
    <hyperlink ref="S2368" r:id="rId2850" xr:uid="{00000000-0004-0000-0200-0000210B0000}"/>
    <hyperlink ref="F2369" r:id="rId2851" xr:uid="{00000000-0004-0000-0200-0000220B0000}"/>
    <hyperlink ref="S2369" r:id="rId2852" xr:uid="{00000000-0004-0000-0200-0000230B0000}"/>
    <hyperlink ref="F2370" r:id="rId2853" xr:uid="{00000000-0004-0000-0200-0000240B0000}"/>
    <hyperlink ref="G2370" r:id="rId2854" xr:uid="{00000000-0004-0000-0200-0000250B0000}"/>
    <hyperlink ref="S2370" r:id="rId2855" xr:uid="{00000000-0004-0000-0200-0000260B0000}"/>
    <hyperlink ref="F2371" r:id="rId2856" xr:uid="{00000000-0004-0000-0200-0000270B0000}"/>
    <hyperlink ref="S2371" r:id="rId2857" xr:uid="{00000000-0004-0000-0200-0000280B0000}"/>
    <hyperlink ref="F2373" r:id="rId2858" xr:uid="{00000000-0004-0000-0200-0000290B0000}"/>
    <hyperlink ref="F2374" r:id="rId2859" xr:uid="{00000000-0004-0000-0200-00002A0B0000}"/>
    <hyperlink ref="S2375" r:id="rId2860" xr:uid="{00000000-0004-0000-0200-00002B0B0000}"/>
    <hyperlink ref="G2376" r:id="rId2861" xr:uid="{00000000-0004-0000-0200-00002C0B0000}"/>
    <hyperlink ref="S2376" r:id="rId2862" xr:uid="{00000000-0004-0000-0200-00002D0B0000}"/>
    <hyperlink ref="F2377" r:id="rId2863" xr:uid="{00000000-0004-0000-0200-00002E0B0000}"/>
    <hyperlink ref="F2378" r:id="rId2864" xr:uid="{00000000-0004-0000-0200-00002F0B0000}"/>
    <hyperlink ref="S2378" r:id="rId2865" xr:uid="{00000000-0004-0000-0200-0000300B0000}"/>
    <hyperlink ref="C2381" r:id="rId2866" xr:uid="{00000000-0004-0000-0200-0000310B0000}"/>
    <hyperlink ref="F2381" r:id="rId2867" xr:uid="{00000000-0004-0000-0200-0000320B0000}"/>
    <hyperlink ref="G2381" r:id="rId2868" xr:uid="{00000000-0004-0000-0200-0000330B0000}"/>
    <hyperlink ref="S2381" r:id="rId2869" xr:uid="{00000000-0004-0000-0200-0000340B0000}"/>
    <hyperlink ref="F2383" r:id="rId2870" xr:uid="{00000000-0004-0000-0200-0000350B0000}"/>
    <hyperlink ref="F2384" r:id="rId2871" xr:uid="{00000000-0004-0000-0200-0000360B0000}"/>
    <hyperlink ref="S2384" r:id="rId2872" xr:uid="{00000000-0004-0000-0200-0000370B0000}"/>
    <hyperlink ref="F2386" r:id="rId2873" xr:uid="{00000000-0004-0000-0200-0000380B0000}"/>
    <hyperlink ref="G2387" r:id="rId2874" xr:uid="{00000000-0004-0000-0200-0000390B0000}"/>
    <hyperlink ref="S2387" r:id="rId2875" xr:uid="{00000000-0004-0000-0200-00003A0B0000}"/>
    <hyperlink ref="F2388" r:id="rId2876" xr:uid="{00000000-0004-0000-0200-00003B0B0000}"/>
    <hyperlink ref="S2388" r:id="rId2877" xr:uid="{00000000-0004-0000-0200-00003C0B0000}"/>
    <hyperlink ref="F2389" r:id="rId2878" xr:uid="{00000000-0004-0000-0200-00003D0B0000}"/>
    <hyperlink ref="F2390" r:id="rId2879" xr:uid="{00000000-0004-0000-0200-00003E0B0000}"/>
    <hyperlink ref="F2391" r:id="rId2880" location=".W_E3TS_DIkM.twitter" xr:uid="{00000000-0004-0000-0200-00003F0B0000}"/>
    <hyperlink ref="F2392" r:id="rId2881" xr:uid="{00000000-0004-0000-0200-0000400B0000}"/>
    <hyperlink ref="F2393" r:id="rId2882" xr:uid="{00000000-0004-0000-0200-0000410B0000}"/>
    <hyperlink ref="F2394" r:id="rId2883" xr:uid="{00000000-0004-0000-0200-0000420B0000}"/>
    <hyperlink ref="F2397" r:id="rId2884" xr:uid="{00000000-0004-0000-0200-0000430B0000}"/>
    <hyperlink ref="S2397" r:id="rId2885" xr:uid="{00000000-0004-0000-0200-0000440B0000}"/>
    <hyperlink ref="F2398" r:id="rId2886" xr:uid="{00000000-0004-0000-0200-0000450B0000}"/>
    <hyperlink ref="G2399" r:id="rId2887" xr:uid="{00000000-0004-0000-0200-0000460B0000}"/>
    <hyperlink ref="F2400" r:id="rId2888" xr:uid="{00000000-0004-0000-0200-0000470B0000}"/>
    <hyperlink ref="F2402" r:id="rId2889" xr:uid="{00000000-0004-0000-0200-0000480B0000}"/>
    <hyperlink ref="S2402" r:id="rId2890" xr:uid="{00000000-0004-0000-0200-0000490B0000}"/>
    <hyperlink ref="F2403" r:id="rId2891" xr:uid="{00000000-0004-0000-0200-00004A0B0000}"/>
    <hyperlink ref="G2403" r:id="rId2892" xr:uid="{00000000-0004-0000-0200-00004B0B0000}"/>
    <hyperlink ref="F2405" r:id="rId2893" xr:uid="{00000000-0004-0000-0200-00004C0B0000}"/>
    <hyperlink ref="G2406" r:id="rId2894" xr:uid="{00000000-0004-0000-0200-00004D0B0000}"/>
    <hyperlink ref="F2408" r:id="rId2895" xr:uid="{00000000-0004-0000-0200-00004E0B0000}"/>
    <hyperlink ref="F2409" r:id="rId2896" xr:uid="{00000000-0004-0000-0200-00004F0B0000}"/>
    <hyperlink ref="F2410" r:id="rId2897" xr:uid="{00000000-0004-0000-0200-0000500B0000}"/>
    <hyperlink ref="S2410" r:id="rId2898" xr:uid="{00000000-0004-0000-0200-0000510B0000}"/>
    <hyperlink ref="S2411" r:id="rId2899" xr:uid="{00000000-0004-0000-0200-0000520B0000}"/>
    <hyperlink ref="F2412" r:id="rId2900" xr:uid="{00000000-0004-0000-0200-0000530B0000}"/>
    <hyperlink ref="F2413" r:id="rId2901" xr:uid="{00000000-0004-0000-0200-0000540B0000}"/>
    <hyperlink ref="F2414" r:id="rId2902" xr:uid="{00000000-0004-0000-0200-0000550B0000}"/>
    <hyperlink ref="F2415" r:id="rId2903" xr:uid="{00000000-0004-0000-0200-0000560B0000}"/>
    <hyperlink ref="S2415" r:id="rId2904" xr:uid="{00000000-0004-0000-0200-0000570B0000}"/>
    <hyperlink ref="F2416" r:id="rId2905" xr:uid="{00000000-0004-0000-0200-0000580B0000}"/>
    <hyperlink ref="F2417" r:id="rId2906" xr:uid="{00000000-0004-0000-0200-0000590B0000}"/>
    <hyperlink ref="S2417" r:id="rId2907" xr:uid="{00000000-0004-0000-0200-00005A0B0000}"/>
    <hyperlink ref="G2418" r:id="rId2908" xr:uid="{00000000-0004-0000-0200-00005B0B0000}"/>
    <hyperlink ref="S2418" r:id="rId2909" xr:uid="{00000000-0004-0000-0200-00005C0B0000}"/>
    <hyperlink ref="G2419" r:id="rId2910" xr:uid="{00000000-0004-0000-0200-00005D0B0000}"/>
    <hyperlink ref="F2420" r:id="rId2911" xr:uid="{00000000-0004-0000-0200-00005E0B0000}"/>
    <hyperlink ref="S2420" r:id="rId2912" xr:uid="{00000000-0004-0000-0200-00005F0B0000}"/>
    <hyperlink ref="F2421" r:id="rId2913" xr:uid="{00000000-0004-0000-0200-0000600B0000}"/>
    <hyperlink ref="S2421" r:id="rId2914" xr:uid="{00000000-0004-0000-0200-0000610B0000}"/>
    <hyperlink ref="F2422" r:id="rId2915" xr:uid="{00000000-0004-0000-0200-0000620B0000}"/>
    <hyperlink ref="S2422" r:id="rId2916" xr:uid="{00000000-0004-0000-0200-0000630B0000}"/>
    <hyperlink ref="F2426" r:id="rId2917" xr:uid="{00000000-0004-0000-0200-0000640B0000}"/>
    <hyperlink ref="G2426" r:id="rId2918" xr:uid="{00000000-0004-0000-0200-0000650B0000}"/>
    <hyperlink ref="S2426" r:id="rId2919" xr:uid="{00000000-0004-0000-0200-0000660B0000}"/>
    <hyperlink ref="F2427" r:id="rId2920" xr:uid="{00000000-0004-0000-0200-0000670B0000}"/>
    <hyperlink ref="F2429" r:id="rId2921" xr:uid="{00000000-0004-0000-0200-0000680B0000}"/>
    <hyperlink ref="F2430" r:id="rId2922" xr:uid="{00000000-0004-0000-0200-0000690B0000}"/>
    <hyperlink ref="F2431" r:id="rId2923" xr:uid="{00000000-0004-0000-0200-00006A0B0000}"/>
    <hyperlink ref="S2431" r:id="rId2924" xr:uid="{00000000-0004-0000-0200-00006B0B0000}"/>
    <hyperlink ref="F2432" r:id="rId2925" xr:uid="{00000000-0004-0000-0200-00006C0B0000}"/>
    <hyperlink ref="S2432" r:id="rId2926" xr:uid="{00000000-0004-0000-0200-00006D0B0000}"/>
    <hyperlink ref="F2433" r:id="rId2927" xr:uid="{00000000-0004-0000-0200-00006E0B0000}"/>
    <hyperlink ref="F2434" r:id="rId2928" xr:uid="{00000000-0004-0000-0200-00006F0B0000}"/>
    <hyperlink ref="G2435" r:id="rId2929" xr:uid="{00000000-0004-0000-0200-0000700B0000}"/>
    <hyperlink ref="S2435" r:id="rId2930" xr:uid="{00000000-0004-0000-0200-0000710B0000}"/>
    <hyperlink ref="S2436" r:id="rId2931" xr:uid="{00000000-0004-0000-0200-0000720B0000}"/>
    <hyperlink ref="F2437" r:id="rId2932" xr:uid="{00000000-0004-0000-0200-0000730B0000}"/>
    <hyperlink ref="S2437" r:id="rId2933" xr:uid="{00000000-0004-0000-0200-0000740B0000}"/>
    <hyperlink ref="F2438" r:id="rId2934" xr:uid="{00000000-0004-0000-0200-0000750B0000}"/>
    <hyperlink ref="S2438" r:id="rId2935" xr:uid="{00000000-0004-0000-0200-0000760B0000}"/>
    <hyperlink ref="F2439" r:id="rId2936" xr:uid="{00000000-0004-0000-0200-0000770B0000}"/>
    <hyperlink ref="G2439" r:id="rId2937" xr:uid="{00000000-0004-0000-0200-0000780B0000}"/>
    <hyperlink ref="F2441" r:id="rId2938" xr:uid="{00000000-0004-0000-0200-0000790B0000}"/>
    <hyperlink ref="F2442" r:id="rId2939" xr:uid="{00000000-0004-0000-0200-00007A0B0000}"/>
    <hyperlink ref="F2444" r:id="rId2940" xr:uid="{00000000-0004-0000-0200-00007B0B0000}"/>
    <hyperlink ref="F2445" r:id="rId2941" xr:uid="{00000000-0004-0000-0200-00007C0B0000}"/>
    <hyperlink ref="F2446" r:id="rId2942" location="?ref=rss&amp;format=simple&amp;link=link" xr:uid="{00000000-0004-0000-0200-00007D0B0000}"/>
    <hyperlink ref="S2446" r:id="rId2943" xr:uid="{00000000-0004-0000-0200-00007E0B0000}"/>
    <hyperlink ref="F2447" r:id="rId2944" xr:uid="{00000000-0004-0000-0200-00007F0B0000}"/>
    <hyperlink ref="F2448" r:id="rId2945" xr:uid="{00000000-0004-0000-0200-0000800B0000}"/>
    <hyperlink ref="S2448" r:id="rId2946" xr:uid="{00000000-0004-0000-0200-0000810B0000}"/>
    <hyperlink ref="G2449" r:id="rId2947" xr:uid="{00000000-0004-0000-0200-0000820B0000}"/>
    <hyperlink ref="F2450" r:id="rId2948" xr:uid="{00000000-0004-0000-0200-0000830B0000}"/>
    <hyperlink ref="S2450" r:id="rId2949" xr:uid="{00000000-0004-0000-0200-0000840B0000}"/>
    <hyperlink ref="F2451" r:id="rId2950" xr:uid="{00000000-0004-0000-0200-0000850B0000}"/>
    <hyperlink ref="S2451" r:id="rId2951" xr:uid="{00000000-0004-0000-0200-0000860B0000}"/>
    <hyperlink ref="F2452" r:id="rId2952" xr:uid="{00000000-0004-0000-0200-0000870B0000}"/>
    <hyperlink ref="F2453" r:id="rId2953" xr:uid="{00000000-0004-0000-0200-0000880B0000}"/>
    <hyperlink ref="F2454" r:id="rId2954" xr:uid="{00000000-0004-0000-0200-0000890B0000}"/>
    <hyperlink ref="S2454" r:id="rId2955" xr:uid="{00000000-0004-0000-0200-00008A0B0000}"/>
    <hyperlink ref="F2455" r:id="rId2956" xr:uid="{00000000-0004-0000-0200-00008B0B0000}"/>
    <hyperlink ref="S2455" r:id="rId2957" xr:uid="{00000000-0004-0000-0200-00008C0B0000}"/>
    <hyperlink ref="F2456" r:id="rId2958" xr:uid="{00000000-0004-0000-0200-00008D0B0000}"/>
    <hyperlink ref="F2457" r:id="rId2959" xr:uid="{00000000-0004-0000-0200-00008E0B0000}"/>
    <hyperlink ref="F2458" r:id="rId2960" xr:uid="{00000000-0004-0000-0200-00008F0B0000}"/>
    <hyperlink ref="F2459" r:id="rId2961" xr:uid="{00000000-0004-0000-0200-0000900B0000}"/>
    <hyperlink ref="F2460" r:id="rId2962" xr:uid="{00000000-0004-0000-0200-0000910B0000}"/>
    <hyperlink ref="S2460" r:id="rId2963" xr:uid="{00000000-0004-0000-0200-0000920B0000}"/>
    <hyperlink ref="F2461" r:id="rId2964" xr:uid="{00000000-0004-0000-0200-0000930B0000}"/>
    <hyperlink ref="S2461" r:id="rId2965" xr:uid="{00000000-0004-0000-0200-0000940B0000}"/>
    <hyperlink ref="F2462" r:id="rId2966" xr:uid="{00000000-0004-0000-0200-0000950B0000}"/>
    <hyperlink ref="F2463" r:id="rId2967" xr:uid="{00000000-0004-0000-0200-0000960B0000}"/>
    <hyperlink ref="F2465" r:id="rId2968" xr:uid="{00000000-0004-0000-0200-0000970B0000}"/>
    <hyperlink ref="F2466" r:id="rId2969" xr:uid="{00000000-0004-0000-0200-0000980B0000}"/>
    <hyperlink ref="F2467" r:id="rId2970" xr:uid="{00000000-0004-0000-0200-0000990B0000}"/>
    <hyperlink ref="F2468" r:id="rId2971" xr:uid="{00000000-0004-0000-0200-00009A0B0000}"/>
    <hyperlink ref="F2469" r:id="rId2972" xr:uid="{00000000-0004-0000-0200-00009B0B0000}"/>
    <hyperlink ref="G2470" r:id="rId2973" xr:uid="{00000000-0004-0000-0200-00009C0B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"Pablo Casado" langes -filterre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2018-12-10T18:11:06Z</dcterms:modified>
</cp:coreProperties>
</file>